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Edivaldo\Desktop\"/>
    </mc:Choice>
  </mc:AlternateContent>
  <bookViews>
    <workbookView xWindow="0" yWindow="0" windowWidth="20490" windowHeight="7905" tabRatio="512"/>
  </bookViews>
  <sheets>
    <sheet name="Tabela" sheetId="1" r:id="rId1"/>
    <sheet name="Jogo" sheetId="2" state="hidden" r:id="rId2"/>
    <sheet name="info" sheetId="3" r:id="rId3"/>
    <sheet name="   " sheetId="4" state="hidden" r:id="rId4"/>
    <sheet name="Mais Tabelas" sheetId="5" r:id="rId5"/>
  </sheets>
  <definedNames>
    <definedName name="_AI7">Jogo!#REF!</definedName>
    <definedName name="África_Sul_against">(#REF!,#REF!,#REF!)</definedName>
    <definedName name="África_Sul_played">(#REF!,#REF!,#REF!)</definedName>
    <definedName name="Alemanha_against">(#REF!,#REF!,#REF!)</definedName>
    <definedName name="Alemanha_played">(#REF!,#REF!,#REF!)</definedName>
    <definedName name="Arábia_Saudita_against">(#REF!,#REF!,#REF!)</definedName>
    <definedName name="Arábia_Saudita_played">(#REF!,#REF!,#REF!)</definedName>
    <definedName name="Argentina_against">(#REF!,#REF!,#REF!)</definedName>
    <definedName name="Argentina_played">(#REF!,#REF!,#REF!)</definedName>
    <definedName name="ask">Jogo!#REF!</definedName>
    <definedName name="B5I">Jogo!$K$58</definedName>
    <definedName name="Bélgica_against">(#REF!,#REF!,#REF!)</definedName>
    <definedName name="Bélgica_played">(#REF!,#REF!,#REF!)</definedName>
    <definedName name="BR20I4">Tabela!$P$78</definedName>
    <definedName name="Brasil">Tabela!$AC$2</definedName>
    <definedName name="Brasil_against">(#REF!,#REF!,#REF!)</definedName>
    <definedName name="Brasil_played">(#REF!,#REF!,#REF!)</definedName>
    <definedName name="Camarões_against">(#REF!,#REF!,#REF!)</definedName>
    <definedName name="Camarões_played">(#REF!,#REF!,#REF!)</definedName>
    <definedName name="China_against">(#REF!,#REF!,#REF!)</definedName>
    <definedName name="China_played">(#REF!,#REF!,#REF!)</definedName>
    <definedName name="Copa" localSheetId="1">Jogo!$K$1</definedName>
    <definedName name="copa2014">Jogo!#REF!</definedName>
    <definedName name="Coreia_against">(#REF!,#REF!,#REF!)</definedName>
    <definedName name="Coreia_played">(#REF!,#REF!,#REF!)</definedName>
    <definedName name="Costa_Rica_against">(#REF!,#REF!,#REF!)</definedName>
    <definedName name="Costa_Rica_played">(#REF!,#REF!,#REF!)</definedName>
    <definedName name="Croácia_against">(#REF!,#REF!,#REF!)</definedName>
    <definedName name="Croácia_played">(#REF!,#REF!,#REF!)</definedName>
    <definedName name="D5I" comment="Para Ver mais Planilhas">Jogo!$N$58</definedName>
    <definedName name="Dinamarca_against">(#REF!,#REF!,#REF!)</definedName>
    <definedName name="Dinamarca_played">(#REF!,#REF!,#REF!)</definedName>
    <definedName name="Equador_against">(#REF!,#REF!,#REF!)</definedName>
    <definedName name="Equador_played">(#REF!,#REF!,#REF!)</definedName>
    <definedName name="Eslovénia_against">(#REF!,#REF!,#REF!)</definedName>
    <definedName name="Eslovénia_played">(#REF!,#REF!,#REF!)</definedName>
    <definedName name="Espanha_against">(#REF!,#REF!,#REF!)</definedName>
    <definedName name="Espanha_played">(#REF!,#REF!,#REF!)</definedName>
    <definedName name="EUA_against">(#REF!,#REF!,#REF!)</definedName>
    <definedName name="EUA_played">(#REF!,#REF!,#REF!)</definedName>
    <definedName name="ex">Jogo!#REF!</definedName>
    <definedName name="FIFA">Jogo!$H$1</definedName>
    <definedName name="França_against">(#REF!,#REF!,#REF!)</definedName>
    <definedName name="França_played">(#REF!,#REF!,#REF!)</definedName>
    <definedName name="Inglaterra_against">(#REF!,#REF!,#REF!)</definedName>
    <definedName name="Inglaterra_played">(#REF!,#REF!,#REF!)</definedName>
    <definedName name="Irlanda_against">(#REF!,#REF!,#REF!)</definedName>
    <definedName name="Irlanda_played">(#REF!,#REF!,#REF!)</definedName>
    <definedName name="Itália_against">(#REF!,#REF!,#REF!)</definedName>
    <definedName name="Itália_played">(#REF!,#REF!,#REF!)</definedName>
    <definedName name="Japão_against">(#REF!,#REF!,#REF!)</definedName>
    <definedName name="Japão_played">(#REF!,#REF!,#REF!)</definedName>
    <definedName name="México_against">(#REF!,#REF!,#REF!)</definedName>
    <definedName name="México_played">(#REF!,#REF!,#REF!)</definedName>
    <definedName name="Nigéria_against">(#REF!,#REF!,#REF!)</definedName>
    <definedName name="Nigéria_played">(#REF!,#REF!,#REF!)</definedName>
    <definedName name="Paraguai_against">(#REF!,#REF!,#REF!)</definedName>
    <definedName name="Paraguai_played">(#REF!,#REF!,#REF!)</definedName>
    <definedName name="Polónia_against">(#REF!,#REF!,#REF!)</definedName>
    <definedName name="Polónia_played">(#REF!,#REF!,#REF!)</definedName>
    <definedName name="Portugal_against">(#REF!,#REF!,#REF!)</definedName>
    <definedName name="Portugal_played">(#REF!,#REF!,#REF!)</definedName>
    <definedName name="Rússia_against">(#REF!,#REF!,#REF!)</definedName>
    <definedName name="Rússia_played">(#REF!,#REF!,#REF!)</definedName>
    <definedName name="Senegal_against">(#REF!,#REF!,#REF!)</definedName>
    <definedName name="Senegal_played">(#REF!,#REF!,#REF!)</definedName>
    <definedName name="Suécia_against">(#REF!,#REF!,#REF!)</definedName>
    <definedName name="Suécia_played">(#REF!,#REF!,#REF!)</definedName>
    <definedName name="Tunísia_against">(#REF!,#REF!,#REF!)</definedName>
    <definedName name="Tunísia_played">(#REF!,#REF!,#REF!)</definedName>
    <definedName name="Turquia_against">(#REF!,#REF!,#REF!)</definedName>
    <definedName name="Turquia_played">(#REF!,#REF!,#REF!)</definedName>
    <definedName name="Uruguai_against">(#REF!,#REF!,#REF!)</definedName>
    <definedName name="Uruguai_played">(#REF!,#REF!,#REF!)</definedName>
    <definedName name="UU">(Jogo!#REF!,Jogo!#REF!,Jogo!#REF!)</definedName>
    <definedName name="www.guiadecompracom">Jogo!#REF!</definedName>
  </definedNames>
  <calcPr calcId="152511"/>
</workbook>
</file>

<file path=xl/calcChain.xml><?xml version="1.0" encoding="utf-8"?>
<calcChain xmlns="http://schemas.openxmlformats.org/spreadsheetml/2006/main">
  <c r="L34" i="1" l="1"/>
  <c r="L33" i="1"/>
  <c r="L66" i="1"/>
  <c r="L65" i="1"/>
  <c r="L67" i="1"/>
  <c r="L64" i="1"/>
  <c r="F67" i="1"/>
  <c r="F65" i="1"/>
  <c r="F66" i="1"/>
  <c r="F64" i="1"/>
  <c r="L63" i="1"/>
  <c r="L62" i="1"/>
  <c r="F63" i="1"/>
  <c r="F62" i="1"/>
  <c r="L58" i="1"/>
  <c r="L57" i="1"/>
  <c r="L59" i="1"/>
  <c r="L56" i="1"/>
  <c r="F59" i="1"/>
  <c r="F57" i="1"/>
  <c r="F58" i="1"/>
  <c r="F56" i="1"/>
  <c r="L55" i="1"/>
  <c r="F55" i="1"/>
  <c r="L54" i="1"/>
  <c r="F54" i="1"/>
  <c r="L50" i="1"/>
  <c r="L49" i="1"/>
  <c r="L51" i="1"/>
  <c r="L48" i="1"/>
  <c r="F51" i="1"/>
  <c r="F49" i="1"/>
  <c r="F50" i="1"/>
  <c r="F48" i="1"/>
  <c r="L47" i="1"/>
  <c r="L46" i="1"/>
  <c r="F47" i="1"/>
  <c r="F46" i="1"/>
  <c r="L42" i="1"/>
  <c r="L41" i="1"/>
  <c r="L43" i="1"/>
  <c r="L40" i="1"/>
  <c r="F43" i="1"/>
  <c r="F41" i="1"/>
  <c r="F42" i="1"/>
  <c r="F40" i="1"/>
  <c r="L39" i="1"/>
  <c r="L38" i="1"/>
  <c r="F39" i="1"/>
  <c r="F38" i="1"/>
  <c r="L31" i="1"/>
  <c r="L35" i="1"/>
  <c r="L32" i="1"/>
  <c r="F35" i="1"/>
  <c r="F33" i="1"/>
  <c r="F34" i="1"/>
  <c r="F32" i="1"/>
  <c r="L30" i="1"/>
  <c r="F31" i="1"/>
  <c r="F30" i="1"/>
  <c r="L26" i="1"/>
  <c r="L25" i="1"/>
  <c r="L23" i="1"/>
  <c r="L27" i="1"/>
  <c r="L24" i="1"/>
  <c r="F23" i="1"/>
  <c r="F27" i="1"/>
  <c r="F25" i="1"/>
  <c r="L22" i="1"/>
  <c r="F26" i="1"/>
  <c r="F24" i="1"/>
  <c r="F22" i="1"/>
  <c r="L18" i="1"/>
  <c r="L17" i="1"/>
  <c r="L15" i="1"/>
  <c r="F18" i="1"/>
  <c r="L19" i="1"/>
  <c r="L16" i="1"/>
  <c r="F15" i="1"/>
  <c r="F19" i="1"/>
  <c r="F17" i="1"/>
  <c r="L14" i="1"/>
  <c r="F16" i="1"/>
  <c r="F14" i="1"/>
  <c r="L10" i="1"/>
  <c r="L9" i="1"/>
  <c r="L7" i="1"/>
  <c r="L11" i="1"/>
  <c r="L8" i="1"/>
  <c r="F7" i="1"/>
  <c r="F9" i="1"/>
  <c r="L6" i="1"/>
  <c r="F11" i="1"/>
  <c r="F10" i="1"/>
  <c r="F8" i="1"/>
  <c r="F6" i="1"/>
  <c r="A62" i="2" l="1"/>
  <c r="A63" i="2"/>
  <c r="A64" i="2"/>
  <c r="A61" i="2"/>
  <c r="A54" i="2"/>
  <c r="A55" i="2"/>
  <c r="A56" i="2"/>
  <c r="A53" i="2"/>
  <c r="A46" i="2"/>
  <c r="A47" i="2"/>
  <c r="A48" i="2"/>
  <c r="A45" i="2"/>
  <c r="A38" i="2"/>
  <c r="A39" i="2"/>
  <c r="A40" i="2"/>
  <c r="A37" i="2"/>
  <c r="A30" i="2"/>
  <c r="A31" i="2"/>
  <c r="A32" i="2"/>
  <c r="A29" i="2"/>
  <c r="A22" i="2"/>
  <c r="A23" i="2"/>
  <c r="A24" i="2"/>
  <c r="A21" i="2"/>
  <c r="A14" i="2"/>
  <c r="A15" i="2"/>
  <c r="A16" i="2"/>
  <c r="A13" i="2"/>
  <c r="A6" i="2"/>
  <c r="A7" i="2"/>
  <c r="A8" i="2"/>
  <c r="A5" i="2"/>
  <c r="D16" i="3" l="1"/>
  <c r="D2" i="5"/>
  <c r="G21" i="2" l="1"/>
  <c r="H64" i="2"/>
  <c r="G64" i="2"/>
  <c r="I64" i="2" s="1"/>
  <c r="F64" i="2"/>
  <c r="E64" i="2"/>
  <c r="D64" i="2"/>
  <c r="C64" i="2"/>
  <c r="H63" i="2"/>
  <c r="G63" i="2"/>
  <c r="F63" i="2"/>
  <c r="E63" i="2"/>
  <c r="D63" i="2"/>
  <c r="C63" i="2"/>
  <c r="H62" i="2"/>
  <c r="G62" i="2"/>
  <c r="F62" i="2"/>
  <c r="E62" i="2"/>
  <c r="D62" i="2"/>
  <c r="C62" i="2"/>
  <c r="H61" i="2"/>
  <c r="G61" i="2"/>
  <c r="I61" i="2" s="1"/>
  <c r="F61" i="2"/>
  <c r="E61" i="2"/>
  <c r="D61" i="2"/>
  <c r="C61" i="2"/>
  <c r="H56" i="2"/>
  <c r="G56" i="2"/>
  <c r="I56" i="2" s="1"/>
  <c r="F56" i="2"/>
  <c r="E56" i="2"/>
  <c r="D56" i="2"/>
  <c r="C56" i="2"/>
  <c r="H55" i="2"/>
  <c r="G55" i="2"/>
  <c r="F55" i="2"/>
  <c r="E55" i="2"/>
  <c r="D55" i="2"/>
  <c r="C55" i="2"/>
  <c r="H54" i="2"/>
  <c r="G54" i="2"/>
  <c r="F54" i="2"/>
  <c r="E54" i="2"/>
  <c r="D54" i="2"/>
  <c r="C54" i="2"/>
  <c r="H53" i="2"/>
  <c r="G53" i="2"/>
  <c r="F53" i="2"/>
  <c r="E53" i="2"/>
  <c r="D53" i="2"/>
  <c r="C53" i="2"/>
  <c r="H48" i="2"/>
  <c r="G48" i="2"/>
  <c r="I48" i="2" s="1"/>
  <c r="F48" i="2"/>
  <c r="E48" i="2"/>
  <c r="D48" i="2"/>
  <c r="C48" i="2"/>
  <c r="H47" i="2"/>
  <c r="G47" i="2"/>
  <c r="F47" i="2"/>
  <c r="E47" i="2"/>
  <c r="D47" i="2"/>
  <c r="C47" i="2"/>
  <c r="H46" i="2"/>
  <c r="G46" i="2"/>
  <c r="F46" i="2"/>
  <c r="E46" i="2"/>
  <c r="D46" i="2"/>
  <c r="C46" i="2"/>
  <c r="H45" i="2"/>
  <c r="G45" i="2"/>
  <c r="I45" i="2" s="1"/>
  <c r="F45" i="2"/>
  <c r="E45" i="2"/>
  <c r="D45" i="2"/>
  <c r="C45" i="2"/>
  <c r="H40" i="2"/>
  <c r="G40" i="2"/>
  <c r="I40" i="2" s="1"/>
  <c r="F40" i="2"/>
  <c r="E40" i="2"/>
  <c r="D40" i="2"/>
  <c r="C40" i="2"/>
  <c r="H39" i="2"/>
  <c r="G39" i="2"/>
  <c r="F39" i="2"/>
  <c r="E39" i="2"/>
  <c r="D39" i="2"/>
  <c r="C39" i="2"/>
  <c r="H38" i="2"/>
  <c r="G38" i="2"/>
  <c r="F38" i="2"/>
  <c r="E38" i="2"/>
  <c r="D38" i="2"/>
  <c r="C38" i="2"/>
  <c r="H37" i="2"/>
  <c r="G37" i="2"/>
  <c r="F37" i="2"/>
  <c r="E37" i="2"/>
  <c r="D37" i="2"/>
  <c r="C37" i="2"/>
  <c r="H32" i="2"/>
  <c r="G32" i="2"/>
  <c r="F32" i="2"/>
  <c r="E32" i="2"/>
  <c r="D32" i="2"/>
  <c r="C32" i="2"/>
  <c r="H30" i="2"/>
  <c r="G30" i="2"/>
  <c r="F30" i="2"/>
  <c r="E30" i="2"/>
  <c r="C30" i="2"/>
  <c r="D30" i="2"/>
  <c r="H29" i="2"/>
  <c r="G29" i="2"/>
  <c r="I29" i="2" s="1"/>
  <c r="F29" i="2"/>
  <c r="E29" i="2"/>
  <c r="D29" i="2"/>
  <c r="C29" i="2"/>
  <c r="H24" i="2"/>
  <c r="G24" i="2"/>
  <c r="I24" i="2" s="1"/>
  <c r="F24" i="2"/>
  <c r="E24" i="2"/>
  <c r="D24" i="2"/>
  <c r="C24" i="2"/>
  <c r="H23" i="2"/>
  <c r="G23" i="2"/>
  <c r="F23" i="2"/>
  <c r="E23" i="2"/>
  <c r="D23" i="2"/>
  <c r="C23" i="2"/>
  <c r="H22" i="2"/>
  <c r="G22" i="2"/>
  <c r="F22" i="2"/>
  <c r="E22" i="2"/>
  <c r="D22" i="2"/>
  <c r="C22" i="2"/>
  <c r="H21" i="2"/>
  <c r="F21" i="2"/>
  <c r="E21" i="2"/>
  <c r="D21" i="2"/>
  <c r="C21" i="2"/>
  <c r="H16" i="2"/>
  <c r="G16" i="2"/>
  <c r="F16" i="2"/>
  <c r="E16" i="2"/>
  <c r="D16" i="2"/>
  <c r="C16" i="2"/>
  <c r="H15" i="2"/>
  <c r="G15" i="2"/>
  <c r="F15" i="2"/>
  <c r="E15" i="2"/>
  <c r="D15" i="2"/>
  <c r="C15" i="2"/>
  <c r="H14" i="2"/>
  <c r="G14" i="2"/>
  <c r="F14" i="2"/>
  <c r="E14" i="2"/>
  <c r="D14" i="2"/>
  <c r="C14" i="2"/>
  <c r="C13" i="2"/>
  <c r="C8" i="2"/>
  <c r="C7" i="2"/>
  <c r="C6" i="2"/>
  <c r="C5" i="2"/>
  <c r="H13" i="2"/>
  <c r="G13" i="2"/>
  <c r="F13" i="2"/>
  <c r="E13" i="2"/>
  <c r="D13" i="2"/>
  <c r="H8" i="2"/>
  <c r="G8" i="2"/>
  <c r="H7" i="2"/>
  <c r="G7" i="2"/>
  <c r="H6" i="2"/>
  <c r="G6" i="2"/>
  <c r="H5" i="2"/>
  <c r="G5" i="2"/>
  <c r="F8" i="2"/>
  <c r="F7" i="2"/>
  <c r="F6" i="2"/>
  <c r="F5" i="2"/>
  <c r="E8" i="2"/>
  <c r="E7" i="2"/>
  <c r="E6" i="2"/>
  <c r="E5" i="2"/>
  <c r="D8" i="2"/>
  <c r="B8" i="2" s="1"/>
  <c r="D7" i="2"/>
  <c r="D6" i="2"/>
  <c r="D5" i="2"/>
  <c r="C31" i="2"/>
  <c r="D31" i="2"/>
  <c r="E31" i="2"/>
  <c r="F31" i="2"/>
  <c r="G31" i="2"/>
  <c r="H31" i="2"/>
  <c r="B5" i="2" l="1"/>
  <c r="I14" i="2"/>
  <c r="I16" i="2"/>
  <c r="I7" i="2"/>
  <c r="I15" i="2"/>
  <c r="B32" i="2"/>
  <c r="B30" i="2"/>
  <c r="I8" i="2"/>
  <c r="I5" i="2"/>
  <c r="B6" i="2"/>
  <c r="K5" i="2" s="1"/>
  <c r="L5" i="2" s="1"/>
  <c r="I6" i="2"/>
  <c r="B7" i="2"/>
  <c r="K8" i="2" s="1"/>
  <c r="L8" i="2" s="1"/>
  <c r="B61" i="2"/>
  <c r="B63" i="2"/>
  <c r="B64" i="2"/>
  <c r="I62" i="2"/>
  <c r="I63" i="2"/>
  <c r="B54" i="2"/>
  <c r="B55" i="2"/>
  <c r="B56" i="2"/>
  <c r="K56" i="2" s="1"/>
  <c r="L56" i="2" s="1"/>
  <c r="I54" i="2"/>
  <c r="I55" i="2"/>
  <c r="B48" i="2"/>
  <c r="I46" i="2"/>
  <c r="I47" i="2"/>
  <c r="B37" i="2"/>
  <c r="B38" i="2"/>
  <c r="B39" i="2"/>
  <c r="B40" i="2"/>
  <c r="I38" i="2"/>
  <c r="I39" i="2"/>
  <c r="B31" i="2"/>
  <c r="K32" i="2" s="1"/>
  <c r="L32" i="2" s="1"/>
  <c r="I30" i="2"/>
  <c r="B29" i="2"/>
  <c r="B22" i="2"/>
  <c r="B23" i="2"/>
  <c r="K24" i="2" s="1"/>
  <c r="L24" i="2" s="1"/>
  <c r="B24" i="2"/>
  <c r="I22" i="2"/>
  <c r="I23" i="2"/>
  <c r="I53" i="2"/>
  <c r="B53" i="2"/>
  <c r="I31" i="2"/>
  <c r="I13" i="2"/>
  <c r="I32" i="2"/>
  <c r="I37" i="2"/>
  <c r="I21" i="2"/>
  <c r="B45" i="2"/>
  <c r="B46" i="2"/>
  <c r="B47" i="2"/>
  <c r="B62" i="2"/>
  <c r="K61" i="2" s="1"/>
  <c r="L61" i="2" s="1"/>
  <c r="B14" i="2"/>
  <c r="B15" i="2"/>
  <c r="B16" i="2"/>
  <c r="B21" i="2"/>
  <c r="B13" i="2"/>
  <c r="K63" i="2"/>
  <c r="L63" i="2" s="1"/>
  <c r="K53" i="2"/>
  <c r="L53" i="2" s="1"/>
  <c r="K54" i="2"/>
  <c r="L54" i="2" s="1"/>
  <c r="K55" i="2"/>
  <c r="L55" i="2" s="1"/>
  <c r="K30" i="2"/>
  <c r="L30" i="2" s="1"/>
  <c r="K29" i="2"/>
  <c r="L29" i="2" s="1"/>
  <c r="K62" i="2" l="1"/>
  <c r="L62" i="2" s="1"/>
  <c r="K31" i="2"/>
  <c r="L31" i="2" s="1"/>
  <c r="K7" i="2"/>
  <c r="L7" i="2" s="1"/>
  <c r="N5" i="2" s="1"/>
  <c r="O5" i="2" s="1"/>
  <c r="K45" i="2"/>
  <c r="L45" i="2" s="1"/>
  <c r="K23" i="2"/>
  <c r="L23" i="2" s="1"/>
  <c r="K46" i="2"/>
  <c r="L46" i="2" s="1"/>
  <c r="K22" i="2"/>
  <c r="L22" i="2" s="1"/>
  <c r="N24" i="2" s="1"/>
  <c r="O24" i="2" s="1"/>
  <c r="K64" i="2"/>
  <c r="L64" i="2" s="1"/>
  <c r="N64" i="2" s="1"/>
  <c r="O64" i="2" s="1"/>
  <c r="K47" i="2"/>
  <c r="L47" i="2" s="1"/>
  <c r="N47" i="2" s="1"/>
  <c r="O47" i="2" s="1"/>
  <c r="K48" i="2"/>
  <c r="L48" i="2" s="1"/>
  <c r="N46" i="2" s="1"/>
  <c r="O46" i="2" s="1"/>
  <c r="N53" i="2"/>
  <c r="O53" i="2" s="1"/>
  <c r="N54" i="2"/>
  <c r="O54" i="2" s="1"/>
  <c r="N56" i="2"/>
  <c r="O56" i="2" s="1"/>
  <c r="K21" i="2"/>
  <c r="L21" i="2" s="1"/>
  <c r="N63" i="2"/>
  <c r="O63" i="2" s="1"/>
  <c r="K6" i="2"/>
  <c r="L6" i="2" s="1"/>
  <c r="N8" i="2" s="1"/>
  <c r="O8" i="2" s="1"/>
  <c r="K16" i="2"/>
  <c r="L16" i="2" s="1"/>
  <c r="K14" i="2"/>
  <c r="L14" i="2" s="1"/>
  <c r="K13" i="2"/>
  <c r="L13" i="2" s="1"/>
  <c r="K15" i="2"/>
  <c r="L15" i="2" s="1"/>
  <c r="N61" i="2"/>
  <c r="O61" i="2" s="1"/>
  <c r="N45" i="2"/>
  <c r="O45" i="2" s="1"/>
  <c r="K40" i="2"/>
  <c r="L40" i="2" s="1"/>
  <c r="N31" i="2"/>
  <c r="O31" i="2" s="1"/>
  <c r="K37" i="2"/>
  <c r="L37" i="2" s="1"/>
  <c r="K38" i="2"/>
  <c r="L38" i="2" s="1"/>
  <c r="K39" i="2"/>
  <c r="L39" i="2" s="1"/>
  <c r="N29" i="2"/>
  <c r="O29" i="2" s="1"/>
  <c r="N32" i="2"/>
  <c r="O32" i="2" s="1"/>
  <c r="N30" i="2"/>
  <c r="O30" i="2" s="1"/>
  <c r="N55" i="2"/>
  <c r="O55" i="2" s="1"/>
  <c r="N7" i="2" l="1"/>
  <c r="O7" i="2" s="1"/>
  <c r="N22" i="2"/>
  <c r="O22" i="2" s="1"/>
  <c r="N21" i="2"/>
  <c r="O21" i="2" s="1"/>
  <c r="Q21" i="2" s="1"/>
  <c r="N62" i="2"/>
  <c r="O62" i="2" s="1"/>
  <c r="Q63" i="2" s="1"/>
  <c r="R63" i="2" s="1"/>
  <c r="Q64" i="2"/>
  <c r="R64" i="2" s="1"/>
  <c r="N48" i="2"/>
  <c r="O48" i="2" s="1"/>
  <c r="Q45" i="2" s="1"/>
  <c r="R45" i="2" s="1"/>
  <c r="N23" i="2"/>
  <c r="O23" i="2" s="1"/>
  <c r="Q23" i="2" s="1"/>
  <c r="S23" i="2" s="1"/>
  <c r="N6" i="2"/>
  <c r="O6" i="2" s="1"/>
  <c r="N15" i="2"/>
  <c r="O15" i="2" s="1"/>
  <c r="N14" i="2"/>
  <c r="O14" i="2" s="1"/>
  <c r="Q56" i="2"/>
  <c r="S56" i="2" s="1"/>
  <c r="Q8" i="2"/>
  <c r="S8" i="2" s="1"/>
  <c r="Q53" i="2"/>
  <c r="R53" i="2" s="1"/>
  <c r="N13" i="2"/>
  <c r="O13" i="2" s="1"/>
  <c r="N16" i="2"/>
  <c r="O16" i="2" s="1"/>
  <c r="Q61" i="2"/>
  <c r="S61" i="2" s="1"/>
  <c r="Q30" i="2"/>
  <c r="S30" i="2" s="1"/>
  <c r="N39" i="2"/>
  <c r="O39" i="2" s="1"/>
  <c r="Q24" i="2"/>
  <c r="R24" i="2" s="1"/>
  <c r="Q32" i="2"/>
  <c r="S32" i="2" s="1"/>
  <c r="Q5" i="2"/>
  <c r="S5" i="2" s="1"/>
  <c r="Q46" i="2"/>
  <c r="Q47" i="2"/>
  <c r="N37" i="2"/>
  <c r="O37" i="2" s="1"/>
  <c r="N38" i="2"/>
  <c r="O38" i="2" s="1"/>
  <c r="N40" i="2"/>
  <c r="O40" i="2" s="1"/>
  <c r="Q29" i="2"/>
  <c r="Q55" i="2"/>
  <c r="Q54" i="2"/>
  <c r="Q31" i="2"/>
  <c r="Q6" i="2" l="1"/>
  <c r="R6" i="2" s="1"/>
  <c r="Q48" i="2"/>
  <c r="R48" i="2" s="1"/>
  <c r="S21" i="2"/>
  <c r="R21" i="2"/>
  <c r="Q22" i="2"/>
  <c r="Q7" i="2"/>
  <c r="S7" i="2" s="1"/>
  <c r="Q62" i="2"/>
  <c r="S62" i="2" s="1"/>
  <c r="R23" i="2"/>
  <c r="R61" i="2"/>
  <c r="S64" i="2"/>
  <c r="R56" i="2"/>
  <c r="S53" i="2"/>
  <c r="Q40" i="2"/>
  <c r="S40" i="2" s="1"/>
  <c r="R32" i="2"/>
  <c r="R30" i="2"/>
  <c r="Q15" i="2"/>
  <c r="R15" i="2" s="1"/>
  <c r="Q16" i="2"/>
  <c r="R16" i="2" s="1"/>
  <c r="Q14" i="2"/>
  <c r="R14" i="2" s="1"/>
  <c r="R8" i="2"/>
  <c r="S48" i="2"/>
  <c r="R5" i="2"/>
  <c r="Q38" i="2"/>
  <c r="S38" i="2" s="1"/>
  <c r="S45" i="2"/>
  <c r="Q13" i="2"/>
  <c r="S63" i="2"/>
  <c r="S24" i="2"/>
  <c r="U23" i="2" s="1"/>
  <c r="Q39" i="2"/>
  <c r="S39" i="2" s="1"/>
  <c r="S46" i="2"/>
  <c r="R46" i="2"/>
  <c r="S47" i="2"/>
  <c r="R47" i="2"/>
  <c r="Q37" i="2"/>
  <c r="S31" i="2"/>
  <c r="R31" i="2"/>
  <c r="S15" i="2"/>
  <c r="S55" i="2"/>
  <c r="R55" i="2"/>
  <c r="S22" i="2"/>
  <c r="R22" i="2"/>
  <c r="R54" i="2"/>
  <c r="S54" i="2"/>
  <c r="R29" i="2"/>
  <c r="S29" i="2"/>
  <c r="S6" i="2" l="1"/>
  <c r="U5" i="2" s="1"/>
  <c r="W5" i="2" s="1"/>
  <c r="R7" i="2"/>
  <c r="U7" i="2" s="1"/>
  <c r="V7" i="2" s="1"/>
  <c r="U24" i="2"/>
  <c r="V24" i="2" s="1"/>
  <c r="R39" i="2"/>
  <c r="S16" i="2"/>
  <c r="U16" i="2" s="1"/>
  <c r="R62" i="2"/>
  <c r="U62" i="2" s="1"/>
  <c r="R40" i="2"/>
  <c r="U64" i="2"/>
  <c r="V64" i="2" s="1"/>
  <c r="R38" i="2"/>
  <c r="S14" i="2"/>
  <c r="S13" i="2"/>
  <c r="R13" i="2"/>
  <c r="U63" i="2"/>
  <c r="U22" i="2"/>
  <c r="W22" i="2" s="1"/>
  <c r="U48" i="2"/>
  <c r="U47" i="2"/>
  <c r="R37" i="2"/>
  <c r="S37" i="2"/>
  <c r="U45" i="2"/>
  <c r="U46" i="2"/>
  <c r="W23" i="2"/>
  <c r="V23" i="2"/>
  <c r="U30" i="2"/>
  <c r="U29" i="2"/>
  <c r="U53" i="2"/>
  <c r="U54" i="2"/>
  <c r="U21" i="2"/>
  <c r="W24" i="2"/>
  <c r="U56" i="2"/>
  <c r="U55" i="2"/>
  <c r="U15" i="2"/>
  <c r="U32" i="2"/>
  <c r="U31" i="2"/>
  <c r="U6" i="2" l="1"/>
  <c r="V6" i="2" s="1"/>
  <c r="U8" i="2"/>
  <c r="W8" i="2" s="1"/>
  <c r="U61" i="2"/>
  <c r="W61" i="2" s="1"/>
  <c r="U40" i="2"/>
  <c r="W7" i="2"/>
  <c r="U39" i="2"/>
  <c r="V39" i="2" s="1"/>
  <c r="W62" i="2"/>
  <c r="V62" i="2"/>
  <c r="W64" i="2"/>
  <c r="U14" i="2"/>
  <c r="V14" i="2" s="1"/>
  <c r="V5" i="2"/>
  <c r="U13" i="2"/>
  <c r="V13" i="2" s="1"/>
  <c r="W63" i="2"/>
  <c r="V63" i="2"/>
  <c r="V22" i="2"/>
  <c r="X24" i="2" s="1"/>
  <c r="V46" i="2"/>
  <c r="W46" i="2"/>
  <c r="V40" i="2"/>
  <c r="W40" i="2"/>
  <c r="W48" i="2"/>
  <c r="V48" i="2"/>
  <c r="V45" i="2"/>
  <c r="W45" i="2"/>
  <c r="U38" i="2"/>
  <c r="U37" i="2"/>
  <c r="W47" i="2"/>
  <c r="V47" i="2"/>
  <c r="W31" i="2"/>
  <c r="V31" i="2"/>
  <c r="W16" i="2"/>
  <c r="V16" i="2"/>
  <c r="W32" i="2"/>
  <c r="V32" i="2"/>
  <c r="W15" i="2"/>
  <c r="V15" i="2"/>
  <c r="V56" i="2"/>
  <c r="W56" i="2"/>
  <c r="W14" i="2"/>
  <c r="W53" i="2"/>
  <c r="V53" i="2"/>
  <c r="V30" i="2"/>
  <c r="W30" i="2"/>
  <c r="V55" i="2"/>
  <c r="W55" i="2"/>
  <c r="W21" i="2"/>
  <c r="V21" i="2"/>
  <c r="V54" i="2"/>
  <c r="W54" i="2"/>
  <c r="W29" i="2"/>
  <c r="V29" i="2"/>
  <c r="W6" i="2" l="1"/>
  <c r="V8" i="2"/>
  <c r="X5" i="2"/>
  <c r="Y5" i="2" s="1"/>
  <c r="V61" i="2"/>
  <c r="X62" i="2"/>
  <c r="X64" i="2"/>
  <c r="W39" i="2"/>
  <c r="X22" i="2"/>
  <c r="Y22" i="2" s="1"/>
  <c r="W13" i="2"/>
  <c r="X15" i="2" s="1"/>
  <c r="X7" i="2"/>
  <c r="Y7" i="2" s="1"/>
  <c r="X61" i="2"/>
  <c r="Y61" i="2" s="1"/>
  <c r="X63" i="2"/>
  <c r="Z63" i="2" s="1"/>
  <c r="X46" i="2"/>
  <c r="Y46" i="2" s="1"/>
  <c r="W38" i="2"/>
  <c r="V38" i="2"/>
  <c r="X47" i="2"/>
  <c r="X45" i="2"/>
  <c r="X48" i="2"/>
  <c r="V37" i="2"/>
  <c r="W37" i="2"/>
  <c r="Z46" i="2"/>
  <c r="X31" i="2"/>
  <c r="X29" i="2"/>
  <c r="Y62" i="2"/>
  <c r="Z62" i="2"/>
  <c r="X21" i="2"/>
  <c r="X23" i="2"/>
  <c r="X30" i="2"/>
  <c r="X32" i="2"/>
  <c r="Z24" i="2"/>
  <c r="Y24" i="2"/>
  <c r="X54" i="2"/>
  <c r="X56" i="2"/>
  <c r="Y64" i="2"/>
  <c r="Z64" i="2"/>
  <c r="X53" i="2"/>
  <c r="X55" i="2"/>
  <c r="X14" i="2"/>
  <c r="X16" i="2"/>
  <c r="X6" i="2" l="1"/>
  <c r="Y6" i="2" s="1"/>
  <c r="X8" i="2"/>
  <c r="Z8" i="2" s="1"/>
  <c r="Z5" i="2"/>
  <c r="Z22" i="2"/>
  <c r="Y63" i="2"/>
  <c r="X13" i="2"/>
  <c r="Z61" i="2"/>
  <c r="AB64" i="2" s="1"/>
  <c r="AE64" i="2" s="1"/>
  <c r="Z7" i="2"/>
  <c r="Y48" i="2"/>
  <c r="Z48" i="2"/>
  <c r="Z47" i="2"/>
  <c r="Y47" i="2"/>
  <c r="AB63" i="2"/>
  <c r="AC63" i="2" s="1"/>
  <c r="X39" i="2"/>
  <c r="X37" i="2"/>
  <c r="Z45" i="2"/>
  <c r="Y45" i="2"/>
  <c r="X38" i="2"/>
  <c r="X40" i="2"/>
  <c r="Z14" i="2"/>
  <c r="Y14" i="2"/>
  <c r="Z53" i="2"/>
  <c r="Y53" i="2"/>
  <c r="Y56" i="2"/>
  <c r="Z56" i="2"/>
  <c r="Z30" i="2"/>
  <c r="Y30" i="2"/>
  <c r="Z23" i="2"/>
  <c r="Y23" i="2"/>
  <c r="Z15" i="2"/>
  <c r="Y15" i="2"/>
  <c r="Y29" i="2"/>
  <c r="Z29" i="2"/>
  <c r="Z16" i="2"/>
  <c r="Y16" i="2"/>
  <c r="Z55" i="2"/>
  <c r="Y55" i="2"/>
  <c r="Z54" i="2"/>
  <c r="Y54" i="2"/>
  <c r="Z32" i="2"/>
  <c r="Y32" i="2"/>
  <c r="Z21" i="2"/>
  <c r="Y21" i="2"/>
  <c r="Y13" i="2"/>
  <c r="Z13" i="2"/>
  <c r="Z31" i="2"/>
  <c r="Y31" i="2"/>
  <c r="AB62" i="2"/>
  <c r="Z6" i="2" l="1"/>
  <c r="AB7" i="2" s="1"/>
  <c r="Y8" i="2"/>
  <c r="AB5" i="2" s="1"/>
  <c r="AB61" i="2"/>
  <c r="AC64" i="2"/>
  <c r="AD64" i="2"/>
  <c r="AB47" i="2"/>
  <c r="AE47" i="2" s="1"/>
  <c r="AB45" i="2"/>
  <c r="AE45" i="2" s="1"/>
  <c r="AB22" i="2"/>
  <c r="AC22" i="2" s="1"/>
  <c r="AE63" i="2"/>
  <c r="AD63" i="2"/>
  <c r="AB46" i="2"/>
  <c r="AC46" i="2" s="1"/>
  <c r="AB31" i="2"/>
  <c r="AE31" i="2" s="1"/>
  <c r="AB32" i="2"/>
  <c r="AE32" i="2" s="1"/>
  <c r="AB21" i="2"/>
  <c r="AE21" i="2" s="1"/>
  <c r="AB23" i="2"/>
  <c r="AE23" i="2" s="1"/>
  <c r="AB15" i="2"/>
  <c r="AD15" i="2" s="1"/>
  <c r="Z38" i="2"/>
  <c r="Y38" i="2"/>
  <c r="Y39" i="2"/>
  <c r="Z39" i="2"/>
  <c r="AB48" i="2"/>
  <c r="Z40" i="2"/>
  <c r="Y40" i="2"/>
  <c r="Y37" i="2"/>
  <c r="Z37" i="2"/>
  <c r="AE62" i="2"/>
  <c r="AC62" i="2"/>
  <c r="AD62" i="2"/>
  <c r="AD61" i="2"/>
  <c r="AC61" i="2"/>
  <c r="AE61" i="2"/>
  <c r="AB13" i="2"/>
  <c r="AB54" i="2"/>
  <c r="AB24" i="2"/>
  <c r="AB29" i="2"/>
  <c r="AB56" i="2"/>
  <c r="AB55" i="2"/>
  <c r="AB16" i="2"/>
  <c r="AB30" i="2"/>
  <c r="AB53" i="2"/>
  <c r="AB14" i="2"/>
  <c r="AB6" i="2" l="1"/>
  <c r="AD6" i="2" s="1"/>
  <c r="AC7" i="2"/>
  <c r="AD7" i="2"/>
  <c r="AE7" i="2"/>
  <c r="AB8" i="2"/>
  <c r="AC8" i="2" s="1"/>
  <c r="AE5" i="2"/>
  <c r="AD5" i="2"/>
  <c r="AC5" i="2"/>
  <c r="AC21" i="2"/>
  <c r="AD21" i="2"/>
  <c r="AC45" i="2"/>
  <c r="AE15" i="2"/>
  <c r="AC15" i="2"/>
  <c r="AC23" i="2"/>
  <c r="AC32" i="2"/>
  <c r="AE22" i="2"/>
  <c r="AD47" i="2"/>
  <c r="AD46" i="2"/>
  <c r="AD32" i="2"/>
  <c r="AF63" i="2"/>
  <c r="AH63" i="2" s="1"/>
  <c r="AF64" i="2"/>
  <c r="AI64" i="2" s="1"/>
  <c r="AC47" i="2"/>
  <c r="AE46" i="2"/>
  <c r="AD45" i="2"/>
  <c r="AD31" i="2"/>
  <c r="AC31" i="2"/>
  <c r="AD23" i="2"/>
  <c r="AD22" i="2"/>
  <c r="AG64" i="2"/>
  <c r="AE48" i="2"/>
  <c r="AC48" i="2"/>
  <c r="AD48" i="2"/>
  <c r="AB37" i="2"/>
  <c r="AB40" i="2"/>
  <c r="AB39" i="2"/>
  <c r="AB38" i="2"/>
  <c r="AC14" i="2"/>
  <c r="AD14" i="2"/>
  <c r="AE14" i="2"/>
  <c r="AC16" i="2"/>
  <c r="AD16" i="2"/>
  <c r="AE16" i="2"/>
  <c r="AE24" i="2"/>
  <c r="AC24" i="2"/>
  <c r="AD24" i="2"/>
  <c r="AF61" i="2"/>
  <c r="AE53" i="2"/>
  <c r="AC53" i="2"/>
  <c r="AD53" i="2"/>
  <c r="AE30" i="2"/>
  <c r="AD30" i="2"/>
  <c r="AC30" i="2"/>
  <c r="AD55" i="2"/>
  <c r="AE55" i="2"/>
  <c r="AC55" i="2"/>
  <c r="AC56" i="2"/>
  <c r="AE56" i="2"/>
  <c r="AD56" i="2"/>
  <c r="AE29" i="2"/>
  <c r="AC29" i="2"/>
  <c r="AD29" i="2"/>
  <c r="AD54" i="2"/>
  <c r="AC54" i="2"/>
  <c r="AE54" i="2"/>
  <c r="AC13" i="2"/>
  <c r="AD13" i="2"/>
  <c r="AE13" i="2"/>
  <c r="AF62" i="2"/>
  <c r="AE6" i="2" l="1"/>
  <c r="AC6" i="2"/>
  <c r="AE8" i="2"/>
  <c r="AD8" i="2"/>
  <c r="AF22" i="2"/>
  <c r="AG22" i="2" s="1"/>
  <c r="AG63" i="2"/>
  <c r="AF21" i="2"/>
  <c r="AI21" i="2" s="1"/>
  <c r="AF46" i="2"/>
  <c r="AG46" i="2" s="1"/>
  <c r="AF31" i="2"/>
  <c r="AG31" i="2" s="1"/>
  <c r="AF45" i="2"/>
  <c r="AG45" i="2" s="1"/>
  <c r="AF32" i="2"/>
  <c r="AG32" i="2" s="1"/>
  <c r="AF23" i="2"/>
  <c r="AG23" i="2" s="1"/>
  <c r="AI63" i="2"/>
  <c r="AH64" i="2"/>
  <c r="AF15" i="2"/>
  <c r="AI15" i="2" s="1"/>
  <c r="AF48" i="2"/>
  <c r="AH48" i="2" s="1"/>
  <c r="AF29" i="2"/>
  <c r="AH29" i="2" s="1"/>
  <c r="AC40" i="2"/>
  <c r="AE40" i="2"/>
  <c r="AD40" i="2"/>
  <c r="AC37" i="2"/>
  <c r="AD37" i="2"/>
  <c r="AE37" i="2"/>
  <c r="AF47" i="2"/>
  <c r="AE38" i="2"/>
  <c r="AC38" i="2"/>
  <c r="AD38" i="2"/>
  <c r="AD39" i="2"/>
  <c r="AE39" i="2"/>
  <c r="AC39" i="2"/>
  <c r="AH62" i="2"/>
  <c r="AI62" i="2"/>
  <c r="AG62" i="2"/>
  <c r="AF13" i="2"/>
  <c r="AF54" i="2"/>
  <c r="AF24" i="2"/>
  <c r="AF14" i="2"/>
  <c r="AH22" i="2"/>
  <c r="AH61" i="2"/>
  <c r="AG61" i="2"/>
  <c r="AI61" i="2"/>
  <c r="AF56" i="2"/>
  <c r="AF55" i="2"/>
  <c r="AF30" i="2"/>
  <c r="AF53" i="2"/>
  <c r="AF16" i="2"/>
  <c r="AF5" i="2" l="1"/>
  <c r="AI5" i="2" s="1"/>
  <c r="AF6" i="2"/>
  <c r="AG6" i="2" s="1"/>
  <c r="AF7" i="2"/>
  <c r="AH7" i="2" s="1"/>
  <c r="AF8" i="2"/>
  <c r="AH8" i="2" s="1"/>
  <c r="AG5" i="2"/>
  <c r="AG21" i="2"/>
  <c r="AI32" i="2"/>
  <c r="AH21" i="2"/>
  <c r="AI22" i="2"/>
  <c r="AH31" i="2"/>
  <c r="AH32" i="2"/>
  <c r="AI45" i="2"/>
  <c r="AI31" i="2"/>
  <c r="AI6" i="2"/>
  <c r="AI23" i="2"/>
  <c r="AH46" i="2"/>
  <c r="AH45" i="2"/>
  <c r="AH23" i="2"/>
  <c r="AI46" i="2"/>
  <c r="AG48" i="2"/>
  <c r="AI29" i="2"/>
  <c r="AH15" i="2"/>
  <c r="AG15" i="2"/>
  <c r="AI48" i="2"/>
  <c r="AG29" i="2"/>
  <c r="AH47" i="2"/>
  <c r="AG47" i="2"/>
  <c r="AI47" i="2"/>
  <c r="AJ63" i="2"/>
  <c r="AM63" i="2" s="1"/>
  <c r="AF39" i="2"/>
  <c r="AF38" i="2"/>
  <c r="AF40" i="2"/>
  <c r="AF37" i="2"/>
  <c r="AG53" i="2"/>
  <c r="AI53" i="2"/>
  <c r="AH53" i="2"/>
  <c r="AH55" i="2"/>
  <c r="AI55" i="2"/>
  <c r="AG55" i="2"/>
  <c r="AH56" i="2"/>
  <c r="AG56" i="2"/>
  <c r="AI56" i="2"/>
  <c r="AG14" i="2"/>
  <c r="AH14" i="2"/>
  <c r="AI14" i="2"/>
  <c r="AG13" i="2"/>
  <c r="AH13" i="2"/>
  <c r="AI13" i="2"/>
  <c r="AJ62" i="2"/>
  <c r="AJ64" i="2"/>
  <c r="AG16" i="2"/>
  <c r="AH16" i="2"/>
  <c r="AI16" i="2"/>
  <c r="AG30" i="2"/>
  <c r="AI30" i="2"/>
  <c r="AH30" i="2"/>
  <c r="AH24" i="2"/>
  <c r="AG24" i="2"/>
  <c r="AI24" i="2"/>
  <c r="AI54" i="2"/>
  <c r="AH54" i="2"/>
  <c r="AG54" i="2"/>
  <c r="AJ61" i="2"/>
  <c r="AH6" i="2" l="1"/>
  <c r="AH5" i="2"/>
  <c r="AI8" i="2"/>
  <c r="AI7" i="2"/>
  <c r="AG7" i="2"/>
  <c r="AG8" i="2"/>
  <c r="AJ23" i="2"/>
  <c r="AL23" i="2" s="1"/>
  <c r="AJ29" i="2"/>
  <c r="AM29" i="2" s="1"/>
  <c r="AJ21" i="2"/>
  <c r="AK21" i="2" s="1"/>
  <c r="AJ46" i="2"/>
  <c r="AJ31" i="2"/>
  <c r="AM31" i="2" s="1"/>
  <c r="AJ48" i="2"/>
  <c r="AK48" i="2" s="1"/>
  <c r="AK63" i="2"/>
  <c r="AL63" i="2"/>
  <c r="AJ45" i="2"/>
  <c r="AK45" i="2" s="1"/>
  <c r="AJ24" i="2"/>
  <c r="AL24" i="2" s="1"/>
  <c r="AJ15" i="2"/>
  <c r="AM15" i="2" s="1"/>
  <c r="AI37" i="2"/>
  <c r="AH37" i="2"/>
  <c r="AG37" i="2"/>
  <c r="AG38" i="2"/>
  <c r="AI38" i="2"/>
  <c r="AH38" i="2"/>
  <c r="AL46" i="2"/>
  <c r="AM46" i="2"/>
  <c r="AK46" i="2"/>
  <c r="AI40" i="2"/>
  <c r="AG40" i="2"/>
  <c r="AH40" i="2"/>
  <c r="AG39" i="2"/>
  <c r="AH39" i="2"/>
  <c r="AI39" i="2"/>
  <c r="AJ55" i="2"/>
  <c r="AM55" i="2" s="1"/>
  <c r="AJ47" i="2"/>
  <c r="AK64" i="2"/>
  <c r="AM64" i="2"/>
  <c r="AL64" i="2"/>
  <c r="AJ13" i="2"/>
  <c r="AJ22" i="2"/>
  <c r="AM61" i="2"/>
  <c r="AK61" i="2"/>
  <c r="AL61" i="2"/>
  <c r="AM21" i="2"/>
  <c r="AL21" i="2"/>
  <c r="AJ56" i="2"/>
  <c r="AJ54" i="2"/>
  <c r="AJ30" i="2"/>
  <c r="AJ32" i="2"/>
  <c r="AL62" i="2"/>
  <c r="AM62" i="2"/>
  <c r="AK62" i="2"/>
  <c r="AJ16" i="2"/>
  <c r="AJ14" i="2"/>
  <c r="AJ53" i="2"/>
  <c r="AJ8" i="2" l="1"/>
  <c r="AM8" i="2" s="1"/>
  <c r="AJ6" i="2"/>
  <c r="AL6" i="2" s="1"/>
  <c r="AJ7" i="2"/>
  <c r="AM7" i="2" s="1"/>
  <c r="AJ5" i="2"/>
  <c r="AK5" i="2" s="1"/>
  <c r="AM23" i="2"/>
  <c r="AK23" i="2"/>
  <c r="AK29" i="2"/>
  <c r="AL45" i="2"/>
  <c r="AL29" i="2"/>
  <c r="AK31" i="2"/>
  <c r="AL31" i="2"/>
  <c r="AL48" i="2"/>
  <c r="AK15" i="2"/>
  <c r="AL55" i="2"/>
  <c r="AK55" i="2"/>
  <c r="AM48" i="2"/>
  <c r="AM45" i="2"/>
  <c r="AM24" i="2"/>
  <c r="AK24" i="2"/>
  <c r="AL15" i="2"/>
  <c r="AN63" i="2"/>
  <c r="O66" i="1" s="1"/>
  <c r="AL47" i="2"/>
  <c r="AM47" i="2"/>
  <c r="AK47" i="2"/>
  <c r="AJ37" i="2"/>
  <c r="AJ38" i="2"/>
  <c r="AJ40" i="2"/>
  <c r="AJ39" i="2"/>
  <c r="AM53" i="2"/>
  <c r="AK53" i="2"/>
  <c r="AL53" i="2"/>
  <c r="AK16" i="2"/>
  <c r="AL16" i="2"/>
  <c r="AM16" i="2"/>
  <c r="AK14" i="2"/>
  <c r="AL14" i="2"/>
  <c r="AM14" i="2"/>
  <c r="AM32" i="2"/>
  <c r="AL32" i="2"/>
  <c r="AK32" i="2"/>
  <c r="AL54" i="2"/>
  <c r="AM54" i="2"/>
  <c r="AK54" i="2"/>
  <c r="AK13" i="2"/>
  <c r="AM13" i="2"/>
  <c r="AL13" i="2"/>
  <c r="AN62" i="2"/>
  <c r="AN61" i="2"/>
  <c r="AL30" i="2"/>
  <c r="AM30" i="2"/>
  <c r="AK30" i="2"/>
  <c r="AL56" i="2"/>
  <c r="AM56" i="2"/>
  <c r="AK56" i="2"/>
  <c r="AL22" i="2"/>
  <c r="AM22" i="2"/>
  <c r="AK22" i="2"/>
  <c r="AN64" i="2"/>
  <c r="AM6" i="2" l="1"/>
  <c r="AL8" i="2"/>
  <c r="AK6" i="2"/>
  <c r="AK8" i="2"/>
  <c r="AL7" i="2"/>
  <c r="AK7" i="2"/>
  <c r="AL5" i="2"/>
  <c r="AM5" i="2"/>
  <c r="Q66" i="1"/>
  <c r="N66" i="1" s="1"/>
  <c r="P66" i="1"/>
  <c r="AP64" i="2"/>
  <c r="O67" i="1"/>
  <c r="AP61" i="2"/>
  <c r="O64" i="1"/>
  <c r="AP62" i="2"/>
  <c r="O65" i="1"/>
  <c r="AQ63" i="2"/>
  <c r="AP63" i="2"/>
  <c r="AN48" i="2"/>
  <c r="O51" i="1" s="1"/>
  <c r="AN29" i="2"/>
  <c r="O32" i="1" s="1"/>
  <c r="AN32" i="2"/>
  <c r="O35" i="1" s="1"/>
  <c r="T66" i="1"/>
  <c r="AO63" i="2"/>
  <c r="AN55" i="2"/>
  <c r="AN45" i="2"/>
  <c r="O48" i="1" s="1"/>
  <c r="AN21" i="2"/>
  <c r="O24" i="1" s="1"/>
  <c r="AN24" i="2"/>
  <c r="O27" i="1" s="1"/>
  <c r="AN15" i="2"/>
  <c r="AP15" i="2" s="1"/>
  <c r="AN46" i="2"/>
  <c r="AN30" i="2"/>
  <c r="AN23" i="2"/>
  <c r="O26" i="1" s="1"/>
  <c r="AN22" i="2"/>
  <c r="O25" i="1" s="1"/>
  <c r="AK40" i="2"/>
  <c r="AM40" i="2"/>
  <c r="AL40" i="2"/>
  <c r="AL37" i="2"/>
  <c r="AM37" i="2"/>
  <c r="AK37" i="2"/>
  <c r="AN31" i="2"/>
  <c r="O34" i="1" s="1"/>
  <c r="AN47" i="2"/>
  <c r="AK39" i="2"/>
  <c r="AL39" i="2"/>
  <c r="AM39" i="2"/>
  <c r="AL38" i="2"/>
  <c r="AM38" i="2"/>
  <c r="AK38" i="2"/>
  <c r="AQ64" i="2"/>
  <c r="AO64" i="2"/>
  <c r="AQ62" i="2"/>
  <c r="AO62" i="2"/>
  <c r="AN56" i="2"/>
  <c r="AN54" i="2"/>
  <c r="AN14" i="2"/>
  <c r="AQ61" i="2"/>
  <c r="AO61" i="2"/>
  <c r="AN13" i="2"/>
  <c r="AN16" i="2"/>
  <c r="AN53" i="2"/>
  <c r="AN6" i="2" l="1"/>
  <c r="O9" i="1" s="1"/>
  <c r="U9" i="1" s="1"/>
  <c r="AN7" i="2"/>
  <c r="AP7" i="2" s="1"/>
  <c r="AN5" i="2"/>
  <c r="O8" i="1" s="1"/>
  <c r="AN8" i="2"/>
  <c r="AQ8" i="2" s="1"/>
  <c r="AQ6" i="2"/>
  <c r="Q34" i="1"/>
  <c r="P34" i="1"/>
  <c r="Q25" i="1"/>
  <c r="P25" i="1"/>
  <c r="Q27" i="1"/>
  <c r="N27" i="1" s="1"/>
  <c r="P27" i="1"/>
  <c r="Q48" i="1"/>
  <c r="P48" i="1"/>
  <c r="Q35" i="1"/>
  <c r="P35" i="1"/>
  <c r="Q51" i="1"/>
  <c r="N51" i="1" s="1"/>
  <c r="P51" i="1"/>
  <c r="Q26" i="1"/>
  <c r="P26" i="1"/>
  <c r="Q24" i="1"/>
  <c r="P24" i="1"/>
  <c r="Q32" i="1"/>
  <c r="P32" i="1"/>
  <c r="Q65" i="1"/>
  <c r="P65" i="1"/>
  <c r="Q64" i="1"/>
  <c r="P64" i="1"/>
  <c r="Q67" i="1"/>
  <c r="N67" i="1" s="1"/>
  <c r="P67" i="1"/>
  <c r="Q9" i="1"/>
  <c r="P9" i="1"/>
  <c r="AP53" i="2"/>
  <c r="O56" i="1"/>
  <c r="AP56" i="2"/>
  <c r="O59" i="1"/>
  <c r="AP54" i="2"/>
  <c r="O57" i="1"/>
  <c r="AP55" i="2"/>
  <c r="O58" i="1"/>
  <c r="AP47" i="2"/>
  <c r="O50" i="1"/>
  <c r="AO31" i="2"/>
  <c r="AP46" i="2"/>
  <c r="O49" i="1"/>
  <c r="AP30" i="2"/>
  <c r="O33" i="1"/>
  <c r="T33" i="1" s="1"/>
  <c r="AQ31" i="2"/>
  <c r="AP31" i="2"/>
  <c r="W48" i="1"/>
  <c r="AP45" i="2"/>
  <c r="AO32" i="2"/>
  <c r="AP32" i="2"/>
  <c r="AQ48" i="2"/>
  <c r="AP48" i="2"/>
  <c r="AQ29" i="2"/>
  <c r="AP29" i="2"/>
  <c r="R35" i="1"/>
  <c r="AQ30" i="2"/>
  <c r="O16" i="1"/>
  <c r="AP13" i="2"/>
  <c r="O17" i="1"/>
  <c r="AP14" i="2"/>
  <c r="O19" i="1"/>
  <c r="AP16" i="2"/>
  <c r="AQ22" i="2"/>
  <c r="AP22" i="2"/>
  <c r="AQ24" i="2"/>
  <c r="AP24" i="2"/>
  <c r="AQ23" i="2"/>
  <c r="AP23" i="2"/>
  <c r="AQ21" i="2"/>
  <c r="AP21" i="2"/>
  <c r="O18" i="1"/>
  <c r="T18" i="1" s="1"/>
  <c r="AO29" i="2"/>
  <c r="AQ32" i="2"/>
  <c r="AO30" i="2"/>
  <c r="AO21" i="2"/>
  <c r="W34" i="1"/>
  <c r="AQ15" i="2"/>
  <c r="AO48" i="2"/>
  <c r="R66" i="1"/>
  <c r="V66" i="1"/>
  <c r="R26" i="1"/>
  <c r="V32" i="1"/>
  <c r="S66" i="1"/>
  <c r="U66" i="1"/>
  <c r="W66" i="1"/>
  <c r="AO23" i="2"/>
  <c r="AO24" i="2"/>
  <c r="AN38" i="2"/>
  <c r="O41" i="1" s="1"/>
  <c r="AO45" i="2"/>
  <c r="AN37" i="2"/>
  <c r="AQ55" i="2"/>
  <c r="AO55" i="2"/>
  <c r="AQ45" i="2"/>
  <c r="AO46" i="2"/>
  <c r="U25" i="1"/>
  <c r="AO22" i="2"/>
  <c r="AO15" i="2"/>
  <c r="AQ46" i="2"/>
  <c r="S51" i="1"/>
  <c r="W51" i="1"/>
  <c r="T51" i="1"/>
  <c r="U51" i="1"/>
  <c r="R51" i="1"/>
  <c r="V51" i="1"/>
  <c r="S48" i="1"/>
  <c r="V48" i="1"/>
  <c r="R48" i="1"/>
  <c r="U48" i="1"/>
  <c r="AN39" i="2"/>
  <c r="AN40" i="2"/>
  <c r="AO47" i="2"/>
  <c r="AQ47" i="2"/>
  <c r="AO53" i="2"/>
  <c r="AQ53" i="2"/>
  <c r="AQ16" i="2"/>
  <c r="AO16" i="2"/>
  <c r="W35" i="1"/>
  <c r="U35" i="1"/>
  <c r="S35" i="1"/>
  <c r="S33" i="1"/>
  <c r="S26" i="1"/>
  <c r="AQ14" i="2"/>
  <c r="AO14" i="2"/>
  <c r="AQ56" i="2"/>
  <c r="AO56" i="2"/>
  <c r="T27" i="1"/>
  <c r="U27" i="1"/>
  <c r="R27" i="1"/>
  <c r="S27" i="1"/>
  <c r="V27" i="1"/>
  <c r="W27" i="1"/>
  <c r="U67" i="1"/>
  <c r="W67" i="1"/>
  <c r="V67" i="1"/>
  <c r="T67" i="1"/>
  <c r="S67" i="1"/>
  <c r="R67" i="1"/>
  <c r="AQ13" i="2"/>
  <c r="AO13" i="2"/>
  <c r="T9" i="1"/>
  <c r="R9" i="1"/>
  <c r="S9" i="1"/>
  <c r="W9" i="1"/>
  <c r="V64" i="1"/>
  <c r="W64" i="1"/>
  <c r="U64" i="1"/>
  <c r="R64" i="1"/>
  <c r="T64" i="1"/>
  <c r="S64" i="1"/>
  <c r="R25" i="1"/>
  <c r="AO54" i="2"/>
  <c r="AQ54" i="2"/>
  <c r="W65" i="1"/>
  <c r="S65" i="1"/>
  <c r="V65" i="1"/>
  <c r="R65" i="1"/>
  <c r="U65" i="1"/>
  <c r="T65" i="1"/>
  <c r="R24" i="1"/>
  <c r="U24" i="1"/>
  <c r="T24" i="1"/>
  <c r="W24" i="1"/>
  <c r="S24" i="1"/>
  <c r="V24" i="1"/>
  <c r="R34" i="1"/>
  <c r="W18" i="1"/>
  <c r="V9" i="1" l="1"/>
  <c r="AO6" i="2"/>
  <c r="AQ7" i="2"/>
  <c r="AP6" i="2"/>
  <c r="AO7" i="2"/>
  <c r="AO5" i="2"/>
  <c r="O10" i="1"/>
  <c r="AQ5" i="2"/>
  <c r="Q8" i="1"/>
  <c r="F71" i="1" s="1"/>
  <c r="F81" i="1" s="1"/>
  <c r="F87" i="1" s="1"/>
  <c r="U8" i="1"/>
  <c r="W8" i="1"/>
  <c r="S8" i="1"/>
  <c r="R8" i="1"/>
  <c r="T8" i="1"/>
  <c r="AP5" i="2"/>
  <c r="W10" i="1"/>
  <c r="AO8" i="2"/>
  <c r="AP8" i="2"/>
  <c r="O11" i="1"/>
  <c r="Q11" i="1" s="1"/>
  <c r="N11" i="1" s="1"/>
  <c r="V8" i="1"/>
  <c r="P8" i="1"/>
  <c r="S10" i="1"/>
  <c r="U10" i="1"/>
  <c r="P10" i="1"/>
  <c r="R10" i="1"/>
  <c r="T10" i="1"/>
  <c r="R33" i="1"/>
  <c r="U33" i="1"/>
  <c r="V33" i="1"/>
  <c r="W33" i="1"/>
  <c r="Q41" i="1"/>
  <c r="P41" i="1"/>
  <c r="Q33" i="1"/>
  <c r="N33" i="1" s="1"/>
  <c r="P33" i="1"/>
  <c r="R49" i="1"/>
  <c r="Q49" i="1"/>
  <c r="N49" i="1" s="1"/>
  <c r="P49" i="1"/>
  <c r="Q50" i="1"/>
  <c r="N50" i="1" s="1"/>
  <c r="P50" i="1"/>
  <c r="U58" i="1"/>
  <c r="Q58" i="1"/>
  <c r="N58" i="1" s="1"/>
  <c r="P58" i="1"/>
  <c r="Q57" i="1"/>
  <c r="P57" i="1"/>
  <c r="Q59" i="1"/>
  <c r="N59" i="1" s="1"/>
  <c r="P59" i="1"/>
  <c r="Q56" i="1"/>
  <c r="P56" i="1"/>
  <c r="Q18" i="1"/>
  <c r="N18" i="1" s="1"/>
  <c r="P18" i="1"/>
  <c r="Q19" i="1"/>
  <c r="N19" i="1" s="1"/>
  <c r="P19" i="1"/>
  <c r="Q17" i="1"/>
  <c r="P17" i="1"/>
  <c r="Q16" i="1"/>
  <c r="P16" i="1"/>
  <c r="AP39" i="2"/>
  <c r="O42" i="1"/>
  <c r="AP40" i="2"/>
  <c r="O43" i="1"/>
  <c r="AP37" i="2"/>
  <c r="O40" i="1"/>
  <c r="W26" i="1"/>
  <c r="U41" i="1"/>
  <c r="AP38" i="2"/>
  <c r="R32" i="1"/>
  <c r="S34" i="1"/>
  <c r="U34" i="1"/>
  <c r="T35" i="1"/>
  <c r="N35" i="1"/>
  <c r="V35" i="1"/>
  <c r="W49" i="1"/>
  <c r="AO37" i="2"/>
  <c r="T48" i="1"/>
  <c r="F77" i="1"/>
  <c r="F84" i="1" s="1"/>
  <c r="U18" i="1"/>
  <c r="V34" i="1"/>
  <c r="T34" i="1"/>
  <c r="N34" i="1"/>
  <c r="W25" i="1"/>
  <c r="T25" i="1"/>
  <c r="W58" i="1"/>
  <c r="AO38" i="2"/>
  <c r="W32" i="1"/>
  <c r="U32" i="1"/>
  <c r="U26" i="1"/>
  <c r="T26" i="1"/>
  <c r="T49" i="1"/>
  <c r="S49" i="1"/>
  <c r="T32" i="1"/>
  <c r="S32" i="1"/>
  <c r="V26" i="1"/>
  <c r="N26" i="1"/>
  <c r="U49" i="1"/>
  <c r="V49" i="1"/>
  <c r="V18" i="1"/>
  <c r="S18" i="1"/>
  <c r="R18" i="1"/>
  <c r="S25" i="1"/>
  <c r="V25" i="1"/>
  <c r="T58" i="1"/>
  <c r="AQ37" i="2"/>
  <c r="AQ38" i="2"/>
  <c r="R58" i="1"/>
  <c r="S58" i="1"/>
  <c r="V58" i="1"/>
  <c r="W50" i="1"/>
  <c r="V50" i="1"/>
  <c r="S50" i="1"/>
  <c r="R50" i="1"/>
  <c r="U50" i="1"/>
  <c r="T50" i="1"/>
  <c r="R41" i="1"/>
  <c r="T41" i="1"/>
  <c r="W41" i="1"/>
  <c r="AQ39" i="2"/>
  <c r="AO39" i="2"/>
  <c r="R40" i="1"/>
  <c r="W40" i="1"/>
  <c r="AQ40" i="2"/>
  <c r="AO40" i="2"/>
  <c r="N9" i="1"/>
  <c r="L73" i="1"/>
  <c r="S16" i="1"/>
  <c r="U16" i="1"/>
  <c r="W16" i="1"/>
  <c r="R16" i="1"/>
  <c r="V16" i="1"/>
  <c r="T16" i="1"/>
  <c r="F74" i="1"/>
  <c r="L83" i="1" s="1"/>
  <c r="F88" i="1" s="1"/>
  <c r="L91" i="1" s="1"/>
  <c r="N32" i="1"/>
  <c r="N24" i="1"/>
  <c r="F72" i="1"/>
  <c r="L76" i="1"/>
  <c r="N65" i="1"/>
  <c r="V57" i="1"/>
  <c r="W57" i="1"/>
  <c r="T57" i="1"/>
  <c r="U57" i="1"/>
  <c r="S57" i="1"/>
  <c r="R57" i="1"/>
  <c r="L74" i="1"/>
  <c r="N25" i="1"/>
  <c r="N64" i="1"/>
  <c r="F78" i="1"/>
  <c r="L84" i="1" s="1"/>
  <c r="L88" i="1" s="1"/>
  <c r="L94" i="1" s="1"/>
  <c r="U59" i="1"/>
  <c r="W59" i="1"/>
  <c r="V59" i="1"/>
  <c r="S59" i="1"/>
  <c r="T59" i="1"/>
  <c r="R59" i="1"/>
  <c r="U17" i="1"/>
  <c r="V17" i="1"/>
  <c r="W17" i="1"/>
  <c r="S17" i="1"/>
  <c r="R17" i="1"/>
  <c r="T17" i="1"/>
  <c r="W19" i="1"/>
  <c r="R19" i="1"/>
  <c r="S19" i="1"/>
  <c r="T19" i="1"/>
  <c r="U19" i="1"/>
  <c r="V19" i="1"/>
  <c r="W56" i="1"/>
  <c r="S56" i="1"/>
  <c r="U56" i="1"/>
  <c r="V56" i="1"/>
  <c r="T56" i="1"/>
  <c r="R56" i="1"/>
  <c r="N8" i="1" l="1"/>
  <c r="Q10" i="1"/>
  <c r="N10" i="1" s="1"/>
  <c r="V10" i="1"/>
  <c r="P11" i="1"/>
  <c r="W11" i="1"/>
  <c r="R11" i="1"/>
  <c r="U11" i="1"/>
  <c r="S11" i="1"/>
  <c r="T11" i="1"/>
  <c r="V11" i="1"/>
  <c r="L72" i="1"/>
  <c r="U40" i="1"/>
  <c r="Q40" i="1"/>
  <c r="P40" i="1"/>
  <c r="Q43" i="1"/>
  <c r="N43" i="1" s="1"/>
  <c r="P43" i="1"/>
  <c r="Q42" i="1"/>
  <c r="N42" i="1" s="1"/>
  <c r="P42" i="1"/>
  <c r="N48" i="1"/>
  <c r="S40" i="1"/>
  <c r="F75" i="1"/>
  <c r="F82" i="1" s="1"/>
  <c r="L87" i="1" s="1"/>
  <c r="L75" i="1"/>
  <c r="V41" i="1"/>
  <c r="L77" i="1"/>
  <c r="S41" i="1"/>
  <c r="V40" i="1"/>
  <c r="T40" i="1"/>
  <c r="L81" i="1"/>
  <c r="N40" i="1"/>
  <c r="U43" i="1"/>
  <c r="W43" i="1"/>
  <c r="S43" i="1"/>
  <c r="R43" i="1"/>
  <c r="T43" i="1"/>
  <c r="V43" i="1"/>
  <c r="U42" i="1"/>
  <c r="T42" i="1"/>
  <c r="S42" i="1"/>
  <c r="V42" i="1"/>
  <c r="R42" i="1"/>
  <c r="W42" i="1"/>
  <c r="N41" i="1"/>
  <c r="L78" i="1"/>
  <c r="N57" i="1"/>
  <c r="N56" i="1"/>
  <c r="F76" i="1"/>
  <c r="L82" i="1" s="1"/>
  <c r="L71" i="1"/>
  <c r="N17" i="1"/>
  <c r="F73" i="1"/>
  <c r="F83" i="1" s="1"/>
  <c r="N16" i="1"/>
  <c r="F94" i="1" l="1"/>
  <c r="P81" i="1" s="1"/>
  <c r="P83" i="1" s="1"/>
  <c r="F91" i="1"/>
</calcChain>
</file>

<file path=xl/comments1.xml><?xml version="1.0" encoding="utf-8"?>
<comments xmlns="http://schemas.openxmlformats.org/spreadsheetml/2006/main">
  <authors>
    <author/>
  </authors>
  <commentList>
    <comment ref="D2" authorId="0" shapeId="0">
      <text>
        <r>
          <rPr>
            <b/>
            <sz val="9"/>
            <color indexed="56"/>
            <rFont val="Verdana"/>
            <family val="2"/>
          </rPr>
          <t xml:space="preserve">Guia de Compra
</t>
        </r>
        <r>
          <rPr>
            <sz val="9"/>
            <color indexed="56"/>
            <rFont val="Verdana"/>
            <family val="2"/>
          </rPr>
          <t xml:space="preserve">-------------------------------------------
</t>
        </r>
        <r>
          <rPr>
            <sz val="9"/>
            <color indexed="54"/>
            <rFont val="Verdana"/>
            <family val="2"/>
          </rPr>
          <t xml:space="preserve">Acompanhe a copa do mundo, inserindo apenas os resultados (placar) dos jogos e obtenha automaticamente a classificação de cada seleção.
</t>
        </r>
        <r>
          <rPr>
            <sz val="9"/>
            <color indexed="56"/>
            <rFont val="Verdana"/>
            <family val="2"/>
          </rPr>
          <t xml:space="preserve">-------------------------------------------
</t>
        </r>
        <r>
          <rPr>
            <sz val="9"/>
            <color indexed="12"/>
            <rFont val="Verdana"/>
            <family val="2"/>
          </rPr>
          <t xml:space="preserve">www.guiadecompra.com
</t>
        </r>
        <r>
          <rPr>
            <i/>
            <sz val="9"/>
            <color indexed="12"/>
            <rFont val="Verdana"/>
            <family val="2"/>
          </rPr>
          <t xml:space="preserve">
Anuncie Grátis para todo Brasil
</t>
        </r>
        <r>
          <rPr>
            <sz val="9"/>
            <color indexed="56"/>
            <rFont val="Verdana"/>
            <family val="2"/>
          </rPr>
          <t>-------------------------------------------</t>
        </r>
      </text>
    </comment>
  </commentList>
</comments>
</file>

<file path=xl/sharedStrings.xml><?xml version="1.0" encoding="utf-8"?>
<sst xmlns="http://schemas.openxmlformats.org/spreadsheetml/2006/main" count="621" uniqueCount="178">
  <si>
    <t>www.guiadecompra.com</t>
  </si>
  <si>
    <t>1. Aprenda Excel</t>
  </si>
  <si>
    <t>Primeira fase            GRUPO A</t>
  </si>
  <si>
    <t>x</t>
  </si>
  <si>
    <t>Classificação do grupo A</t>
  </si>
  <si>
    <t>2. Lista de Fornecedores</t>
  </si>
  <si>
    <t>PT</t>
  </si>
  <si>
    <t>J</t>
  </si>
  <si>
    <t>V</t>
  </si>
  <si>
    <t>E</t>
  </si>
  <si>
    <t>D</t>
  </si>
  <si>
    <t>GP</t>
  </si>
  <si>
    <t>GC</t>
  </si>
  <si>
    <t>SG</t>
  </si>
  <si>
    <t>3. Conheça o Shopping</t>
  </si>
  <si>
    <t>5. Produtos em Oferta</t>
  </si>
  <si>
    <t>Pesquise e compare preços</t>
  </si>
  <si>
    <t>Primeira fase          GRUPO B</t>
  </si>
  <si>
    <t>:: Notebooks</t>
  </si>
  <si>
    <t>Classificação do grupo B</t>
  </si>
  <si>
    <t>:: Celulares</t>
  </si>
  <si>
    <t>:: Filmadoras</t>
  </si>
  <si>
    <t>:: Câmeras Digitais</t>
  </si>
  <si>
    <t>:: Perfumes</t>
  </si>
  <si>
    <t>:: Tenis Várias Marcas</t>
  </si>
  <si>
    <t>:: TVs LCD</t>
  </si>
  <si>
    <t>:: Monitor LCD</t>
  </si>
  <si>
    <t>Primeira fase          GRUPO C</t>
  </si>
  <si>
    <t>:: Computadores</t>
  </si>
  <si>
    <t>Classificação do grupo C</t>
  </si>
  <si>
    <t>Anuncie Grátis na Internet</t>
  </si>
  <si>
    <t>Participe do perguntinhas</t>
  </si>
  <si>
    <t>Perguntas e Respostas</t>
  </si>
  <si>
    <t>Primeira fase          GRUPO D</t>
  </si>
  <si>
    <t>Classificação do grupo D</t>
  </si>
  <si>
    <t>Primeira fase          GRUPO E</t>
  </si>
  <si>
    <t>Classificação do grupo E</t>
  </si>
  <si>
    <t>Primeira fase          GRUPO F</t>
  </si>
  <si>
    <t>Classificação do grupo F</t>
  </si>
  <si>
    <t>Primeira fase          GRUPO G</t>
  </si>
  <si>
    <t>Classificação do grupo G</t>
  </si>
  <si>
    <t>Primeira fase          GRUPO H</t>
  </si>
  <si>
    <t>Oitavas de final</t>
  </si>
  <si>
    <t>Tempo normal</t>
  </si>
  <si>
    <t>Quartas de final</t>
  </si>
  <si>
    <t>Semifinal</t>
  </si>
  <si>
    <t>Decisão do terceiro lugar</t>
  </si>
  <si>
    <t xml:space="preserve">     </t>
  </si>
  <si>
    <t>Grupo A</t>
  </si>
  <si>
    <t>Pontos ganhos</t>
  </si>
  <si>
    <t>Pontos Ganhos</t>
  </si>
  <si>
    <t>Saldo de gols</t>
  </si>
  <si>
    <t>Seleção</t>
  </si>
  <si>
    <t>pt</t>
  </si>
  <si>
    <t>Grupo B</t>
  </si>
  <si>
    <t>Grupo C</t>
  </si>
  <si>
    <t>Grupo D</t>
  </si>
  <si>
    <t>Grupo E</t>
  </si>
  <si>
    <t>Grupo F</t>
  </si>
  <si>
    <t>Grupo G</t>
  </si>
  <si>
    <t>Grupo H</t>
  </si>
  <si>
    <t>Classificação do grupo H</t>
  </si>
  <si>
    <t>A2</t>
  </si>
  <si>
    <t>A3</t>
  </si>
  <si>
    <t>A4</t>
  </si>
  <si>
    <t>B1</t>
  </si>
  <si>
    <t>B3</t>
  </si>
  <si>
    <t>B2</t>
  </si>
  <si>
    <t>B4</t>
  </si>
  <si>
    <t>C1</t>
  </si>
  <si>
    <t>C3</t>
  </si>
  <si>
    <t>C2</t>
  </si>
  <si>
    <t>C4</t>
  </si>
  <si>
    <t>D1</t>
  </si>
  <si>
    <t>D3</t>
  </si>
  <si>
    <t>D2</t>
  </si>
  <si>
    <t>D4</t>
  </si>
  <si>
    <t>E1</t>
  </si>
  <si>
    <t>E3</t>
  </si>
  <si>
    <t>E2</t>
  </si>
  <si>
    <t>E4</t>
  </si>
  <si>
    <t>F1</t>
  </si>
  <si>
    <t>F3</t>
  </si>
  <si>
    <t>F2</t>
  </si>
  <si>
    <t>F4</t>
  </si>
  <si>
    <t>G1</t>
  </si>
  <si>
    <t>G3</t>
  </si>
  <si>
    <t>G2</t>
  </si>
  <si>
    <t>G4</t>
  </si>
  <si>
    <t>H1</t>
  </si>
  <si>
    <t>H3</t>
  </si>
  <si>
    <t>H2</t>
  </si>
  <si>
    <t>H4</t>
  </si>
  <si>
    <t>São Paulo</t>
  </si>
  <si>
    <t>Natal</t>
  </si>
  <si>
    <t>Fortaleza</t>
  </si>
  <si>
    <t>Manaus</t>
  </si>
  <si>
    <t>Brasília</t>
  </si>
  <si>
    <t>Recife</t>
  </si>
  <si>
    <t>Salvador</t>
  </si>
  <si>
    <t>Cuiabá</t>
  </si>
  <si>
    <t>Rio de Janeiro</t>
  </si>
  <si>
    <t>Porto Alegre</t>
  </si>
  <si>
    <t>Curitiba</t>
  </si>
  <si>
    <t>13/06/1014</t>
  </si>
  <si>
    <t>Belo Horizonte</t>
  </si>
  <si>
    <t>A</t>
  </si>
  <si>
    <t>C</t>
  </si>
  <si>
    <t>I</t>
  </si>
  <si>
    <t>II</t>
  </si>
  <si>
    <t>Desenvolvida Por</t>
  </si>
  <si>
    <t>www.guiadcompra.com</t>
  </si>
  <si>
    <t>Proíbida a venda desta planilha, por terceiro</t>
  </si>
  <si>
    <t>guiadecompra@guiadecompra.com</t>
  </si>
  <si>
    <t>Caso você compre, esta, ou outras planilhas desenvolvida pelo Guia de Compra, denuncie</t>
  </si>
  <si>
    <t>Horários de Brasília</t>
  </si>
  <si>
    <t>Desenvolvida por:</t>
  </si>
  <si>
    <t>Compartilhe</t>
  </si>
  <si>
    <t>Facebook</t>
  </si>
  <si>
    <t>Desenvolvida Por:</t>
  </si>
  <si>
    <t>Decisão da Copa de 2014 - Brasil</t>
  </si>
  <si>
    <t>Tabela da Copa do Mundo de 2014</t>
  </si>
  <si>
    <t>Veja Outras Planilhas de Excel no guia de compra</t>
  </si>
  <si>
    <t>Baixar Mais Planilhas de Excel</t>
  </si>
  <si>
    <t>Planilha de Fluxo de Caixa</t>
  </si>
  <si>
    <t>Planilha de Controle de Produtos</t>
  </si>
  <si>
    <t>Planilha Para Controle de Estoque</t>
  </si>
  <si>
    <t>Apostila Excel</t>
  </si>
  <si>
    <t>Planilha Para Cotação de Preços</t>
  </si>
  <si>
    <t>Compartilhe no Facebook</t>
  </si>
  <si>
    <t>Tabela da Copa do Mundo</t>
  </si>
  <si>
    <t>A1</t>
  </si>
  <si>
    <t>Preencher os nomes das seleções em cada grupo, de acordo com o sorteio da FIFA</t>
  </si>
  <si>
    <t>Peencher Tabela</t>
  </si>
  <si>
    <t>Outras Planilhas</t>
  </si>
  <si>
    <t>Copie o link da tabela e coloque no seu site, ou blog</t>
  </si>
  <si>
    <t>http://www.guiadecompra.com/copa-do-mundo/index.php</t>
  </si>
  <si>
    <t>B</t>
  </si>
  <si>
    <t>Planilha de Orçamento Familiar</t>
  </si>
  <si>
    <t>Pacote com 25 Planilhas</t>
  </si>
  <si>
    <t>Planilha Cadastro de Clientes</t>
  </si>
  <si>
    <t>Brasil</t>
  </si>
  <si>
    <t>Tenha acesso a várias planilhas profissionais, todas desenvolvidas pelo Guia de Compra</t>
  </si>
  <si>
    <t>Espanha</t>
  </si>
  <si>
    <t>Colômbia</t>
  </si>
  <si>
    <t>Uruguai</t>
  </si>
  <si>
    <t>Suiça</t>
  </si>
  <si>
    <t>Argentina</t>
  </si>
  <si>
    <t>Alemanha</t>
  </si>
  <si>
    <t>Bélgica</t>
  </si>
  <si>
    <t>Itália</t>
  </si>
  <si>
    <t>Chile</t>
  </si>
  <si>
    <t>Camarões</t>
  </si>
  <si>
    <t>Equador</t>
  </si>
  <si>
    <t>Costa do Marfim</t>
  </si>
  <si>
    <t>Nigéria</t>
  </si>
  <si>
    <t>Gana</t>
  </si>
  <si>
    <t>Argélia</t>
  </si>
  <si>
    <t>México</t>
  </si>
  <si>
    <t>Austrália</t>
  </si>
  <si>
    <t>Japão</t>
  </si>
  <si>
    <t>Costa Rica</t>
  </si>
  <si>
    <t>Honduras</t>
  </si>
  <si>
    <t>Iran</t>
  </si>
  <si>
    <t>Estados Unidos</t>
  </si>
  <si>
    <t>Coreia do Sul</t>
  </si>
  <si>
    <t>Croácia</t>
  </si>
  <si>
    <t>Holanda</t>
  </si>
  <si>
    <t>Grécia</t>
  </si>
  <si>
    <t>Inglaterra</t>
  </si>
  <si>
    <t>França</t>
  </si>
  <si>
    <t>Bósnia</t>
  </si>
  <si>
    <t>Portugal</t>
  </si>
  <si>
    <t>Rússia</t>
  </si>
  <si>
    <t>Ir Para a Tabela</t>
  </si>
  <si>
    <t>Entre no Site e Anuncie Grátis</t>
  </si>
  <si>
    <r>
      <rPr>
        <b/>
        <sz val="12"/>
        <color theme="9" tint="0.79998168889431442"/>
        <rFont val="Arial"/>
        <family val="2"/>
      </rPr>
      <t>Entre no Site</t>
    </r>
    <r>
      <rPr>
        <b/>
        <sz val="12"/>
        <color rgb="FFFFFF00"/>
        <rFont val="Arial"/>
        <family val="2"/>
      </rPr>
      <t xml:space="preserve"> e Anuncie Grátis</t>
    </r>
  </si>
  <si>
    <t>VOCÊ ANUNCIA, ALGUÉM COMPRA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</si>
</sst>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AM/PM"/>
    <numFmt numFmtId="165" formatCode="h:mm"/>
    <numFmt numFmtId="166" formatCode="d\-mmm\-yy"/>
    <numFmt numFmtId="167" formatCode="h:mm;@"/>
  </numFmts>
  <fonts count="102" x14ac:knownFonts="1"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color indexed="56"/>
      <name val="Verdana"/>
      <family val="2"/>
    </font>
    <font>
      <sz val="9"/>
      <color indexed="56"/>
      <name val="Verdana"/>
      <family val="2"/>
    </font>
    <font>
      <sz val="9"/>
      <color indexed="54"/>
      <name val="Verdana"/>
      <family val="2"/>
    </font>
    <font>
      <sz val="9"/>
      <color indexed="12"/>
      <name val="Verdana"/>
      <family val="2"/>
    </font>
    <font>
      <i/>
      <sz val="9"/>
      <color indexed="12"/>
      <name val="Verdana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i/>
      <u/>
      <sz val="10"/>
      <color indexed="12"/>
      <name val="Arial"/>
      <family val="2"/>
    </font>
    <font>
      <sz val="10"/>
      <color indexed="60"/>
      <name val="Arial"/>
      <family val="2"/>
    </font>
    <font>
      <b/>
      <sz val="10"/>
      <color indexed="60"/>
      <name val="Arial"/>
      <family val="2"/>
    </font>
    <font>
      <sz val="10"/>
      <color indexed="12"/>
      <name val="Arial"/>
      <family val="2"/>
    </font>
    <font>
      <sz val="8"/>
      <color indexed="57"/>
      <name val="Arial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b/>
      <i/>
      <sz val="10"/>
      <color indexed="57"/>
      <name val="Arial"/>
      <family val="2"/>
    </font>
    <font>
      <sz val="10"/>
      <name val="Verdana"/>
      <family val="2"/>
    </font>
    <font>
      <b/>
      <u/>
      <sz val="10"/>
      <color indexed="60"/>
      <name val="Arial"/>
      <family val="2"/>
    </font>
    <font>
      <b/>
      <u/>
      <sz val="10"/>
      <color indexed="12"/>
      <name val="Arial"/>
      <family val="2"/>
    </font>
    <font>
      <sz val="10"/>
      <color indexed="62"/>
      <name val="Arial"/>
      <family val="2"/>
    </font>
    <font>
      <sz val="8"/>
      <color indexed="22"/>
      <name val="Arial"/>
      <family val="2"/>
    </font>
    <font>
      <sz val="10"/>
      <color indexed="27"/>
      <name val="Arial"/>
      <family val="2"/>
    </font>
    <font>
      <sz val="9"/>
      <color indexed="27"/>
      <name val="Arial"/>
      <family val="2"/>
    </font>
    <font>
      <u/>
      <sz val="8"/>
      <color indexed="22"/>
      <name val="Arial"/>
      <family val="2"/>
    </font>
    <font>
      <b/>
      <sz val="8"/>
      <name val="Verdana"/>
      <family val="2"/>
    </font>
    <font>
      <b/>
      <sz val="8"/>
      <color indexed="22"/>
      <name val="Arial"/>
      <family val="2"/>
    </font>
    <font>
      <b/>
      <sz val="8"/>
      <color indexed="57"/>
      <name val="Arial"/>
      <family val="2"/>
    </font>
    <font>
      <sz val="10"/>
      <color indexed="55"/>
      <name val="Arial"/>
      <family val="2"/>
    </font>
    <font>
      <b/>
      <sz val="10"/>
      <color indexed="53"/>
      <name val="Arial"/>
      <family val="2"/>
    </font>
    <font>
      <b/>
      <sz val="10"/>
      <color indexed="8"/>
      <name val="Arial"/>
      <family val="2"/>
    </font>
    <font>
      <sz val="9"/>
      <color indexed="54"/>
      <name val="Arial"/>
      <family val="2"/>
    </font>
    <font>
      <b/>
      <sz val="10"/>
      <color indexed="56"/>
      <name val="Arial"/>
      <family val="2"/>
    </font>
    <font>
      <b/>
      <sz val="10"/>
      <color indexed="48"/>
      <name val="Arial"/>
      <family val="2"/>
    </font>
    <font>
      <sz val="9"/>
      <color indexed="57"/>
      <name val="Arial"/>
      <family val="2"/>
    </font>
    <font>
      <b/>
      <sz val="10"/>
      <color indexed="54"/>
      <name val="Arial"/>
      <family val="2"/>
    </font>
    <font>
      <b/>
      <sz val="10"/>
      <color indexed="44"/>
      <name val="Arial"/>
      <family val="2"/>
    </font>
    <font>
      <sz val="10"/>
      <color indexed="44"/>
      <name val="Arial"/>
      <family val="2"/>
    </font>
    <font>
      <sz val="10"/>
      <color indexed="19"/>
      <name val="Arial"/>
      <family val="2"/>
    </font>
    <font>
      <sz val="9"/>
      <color indexed="63"/>
      <name val="Arial"/>
      <family val="2"/>
    </font>
    <font>
      <sz val="10"/>
      <color indexed="18"/>
      <name val="Arial"/>
      <family val="2"/>
    </font>
    <font>
      <b/>
      <sz val="10"/>
      <color indexed="62"/>
      <name val="Arial"/>
      <family val="2"/>
    </font>
    <font>
      <sz val="9"/>
      <color indexed="53"/>
      <name val="Arial"/>
      <family val="2"/>
    </font>
    <font>
      <sz val="10"/>
      <color indexed="22"/>
      <name val="Arial"/>
      <family val="2"/>
    </font>
    <font>
      <sz val="10"/>
      <color indexed="17"/>
      <name val="Arial"/>
      <family val="2"/>
    </font>
    <font>
      <sz val="9"/>
      <color indexed="17"/>
      <name val="Arial"/>
      <family val="2"/>
    </font>
    <font>
      <b/>
      <sz val="10"/>
      <color indexed="27"/>
      <name val="Arial"/>
      <family val="2"/>
    </font>
    <font>
      <sz val="10"/>
      <color indexed="63"/>
      <name val="Arial"/>
      <family val="2"/>
    </font>
    <font>
      <b/>
      <sz val="10"/>
      <color indexed="9"/>
      <name val="Arial"/>
      <family val="2"/>
    </font>
    <font>
      <sz val="10"/>
      <color indexed="23"/>
      <name val="Arial"/>
      <family val="2"/>
    </font>
    <font>
      <b/>
      <sz val="10"/>
      <color theme="1" tint="4.9989318521683403E-2"/>
      <name val="Arial"/>
      <family val="2"/>
    </font>
    <font>
      <b/>
      <sz val="16"/>
      <color theme="6" tint="-0.499984740745262"/>
      <name val="Arial"/>
      <family val="2"/>
    </font>
    <font>
      <b/>
      <sz val="14"/>
      <color theme="7" tint="-0.249977111117893"/>
      <name val="Arial"/>
      <family val="2"/>
    </font>
    <font>
      <b/>
      <u/>
      <sz val="12"/>
      <color indexed="12"/>
      <name val="Arial"/>
      <family val="2"/>
    </font>
    <font>
      <sz val="16"/>
      <name val="Arial"/>
      <family val="2"/>
    </font>
    <font>
      <u/>
      <sz val="16"/>
      <color indexed="12"/>
      <name val="Arial"/>
      <family val="2"/>
    </font>
    <font>
      <b/>
      <sz val="10"/>
      <color theme="8" tint="-0.499984740745262"/>
      <name val="Arial"/>
      <family val="2"/>
    </font>
    <font>
      <b/>
      <sz val="10"/>
      <color theme="6" tint="-0.499984740745262"/>
      <name val="Arial"/>
      <family val="2"/>
    </font>
    <font>
      <b/>
      <sz val="10"/>
      <color rgb="FF0033CC"/>
      <name val="Arial"/>
      <family val="2"/>
    </font>
    <font>
      <sz val="10"/>
      <color theme="0"/>
      <name val="Arial"/>
      <family val="2"/>
    </font>
    <font>
      <b/>
      <sz val="14"/>
      <color theme="0"/>
      <name val="Arial"/>
      <family val="2"/>
    </font>
    <font>
      <sz val="10"/>
      <color theme="8" tint="-0.499984740745262"/>
      <name val="Arial"/>
      <family val="2"/>
    </font>
    <font>
      <sz val="9"/>
      <color theme="8" tint="-0.499984740745262"/>
      <name val="Arial"/>
      <family val="2"/>
    </font>
    <font>
      <b/>
      <sz val="10"/>
      <color theme="9" tint="-0.499984740745262"/>
      <name val="Arial"/>
      <family val="2"/>
    </font>
    <font>
      <sz val="9"/>
      <color theme="3" tint="-0.249977111117893"/>
      <name val="Arial"/>
      <family val="2"/>
    </font>
    <font>
      <b/>
      <sz val="10"/>
      <color theme="3" tint="-0.249977111117893"/>
      <name val="Arial"/>
      <family val="2"/>
    </font>
    <font>
      <sz val="9"/>
      <color theme="6" tint="-0.499984740745262"/>
      <name val="Arial"/>
      <family val="2"/>
    </font>
    <font>
      <sz val="9"/>
      <color theme="9" tint="-0.499984740745262"/>
      <name val="Arial"/>
      <family val="2"/>
    </font>
    <font>
      <b/>
      <i/>
      <sz val="8"/>
      <color theme="6" tint="0.39997558519241921"/>
      <name val="Arial"/>
      <family val="2"/>
    </font>
    <font>
      <b/>
      <sz val="3"/>
      <color theme="4" tint="0.79998168889431442"/>
      <name val="Arial"/>
      <family val="2"/>
    </font>
    <font>
      <sz val="8"/>
      <color theme="4" tint="0.79998168889431442"/>
      <name val="Arial"/>
      <family val="2"/>
    </font>
    <font>
      <b/>
      <sz val="9"/>
      <name val="Arial"/>
      <family val="2"/>
    </font>
    <font>
      <sz val="5"/>
      <color theme="0"/>
      <name val="Arial"/>
      <family val="2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i/>
      <sz val="14"/>
      <color theme="0"/>
      <name val="Calibri"/>
      <family val="2"/>
    </font>
    <font>
      <b/>
      <i/>
      <sz val="14"/>
      <color theme="0"/>
      <name val="Calibri"/>
      <family val="2"/>
      <scheme val="minor"/>
    </font>
    <font>
      <b/>
      <sz val="12"/>
      <color rgb="FF0066FF"/>
      <name val="Arial"/>
      <family val="2"/>
    </font>
    <font>
      <sz val="12"/>
      <color rgb="FF0066FF"/>
      <name val="Arial"/>
      <family val="2"/>
    </font>
    <font>
      <sz val="11"/>
      <color rgb="FF000BE6"/>
      <name val="Calibri"/>
      <family val="2"/>
      <scheme val="minor"/>
    </font>
    <font>
      <sz val="12"/>
      <color theme="6" tint="-0.249977111117893"/>
      <name val="Arial"/>
      <family val="2"/>
    </font>
    <font>
      <b/>
      <sz val="11"/>
      <color rgb="FFFFFF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u/>
      <sz val="8"/>
      <color theme="0"/>
      <name val="Arial"/>
      <family val="2"/>
    </font>
    <font>
      <b/>
      <u/>
      <sz val="8"/>
      <color indexed="12"/>
      <name val="Arial"/>
      <family val="2"/>
    </font>
    <font>
      <u/>
      <sz val="12"/>
      <color indexed="12"/>
      <name val="Arial"/>
      <family val="2"/>
    </font>
    <font>
      <sz val="12"/>
      <name val="Arial"/>
      <family val="2"/>
    </font>
    <font>
      <b/>
      <sz val="12"/>
      <color theme="0"/>
      <name val="Arial"/>
      <family val="2"/>
    </font>
    <font>
      <b/>
      <sz val="10"/>
      <color rgb="FFC00000"/>
      <name val="Arial"/>
      <family val="2"/>
    </font>
    <font>
      <sz val="10"/>
      <color theme="5" tint="-0.249977111117893"/>
      <name val="Arial"/>
      <family val="2"/>
    </font>
    <font>
      <b/>
      <i/>
      <u/>
      <sz val="9"/>
      <color rgb="FFFFFF00"/>
      <name val="Arial"/>
      <family val="2"/>
    </font>
    <font>
      <b/>
      <i/>
      <sz val="9"/>
      <color rgb="FF002060"/>
      <name val="Arial"/>
      <family val="2"/>
    </font>
    <font>
      <sz val="8"/>
      <color rgb="FF0066FF"/>
      <name val="Arial"/>
      <family val="2"/>
    </font>
    <font>
      <b/>
      <sz val="12"/>
      <color indexed="12"/>
      <name val="Arial"/>
      <family val="2"/>
    </font>
    <font>
      <sz val="10"/>
      <color theme="1"/>
      <name val="Arial"/>
      <family val="2"/>
    </font>
    <font>
      <b/>
      <i/>
      <sz val="14"/>
      <color theme="0"/>
      <name val="Arial"/>
      <family val="2"/>
    </font>
    <font>
      <b/>
      <sz val="12"/>
      <color rgb="FFFFFF00"/>
      <name val="Arial"/>
      <family val="2"/>
    </font>
    <font>
      <b/>
      <sz val="12"/>
      <color theme="9" tint="0.79998168889431442"/>
      <name val="Arial"/>
      <family val="2"/>
    </font>
    <font>
      <sz val="10"/>
      <color theme="2"/>
      <name val="Arial"/>
      <family val="2"/>
    </font>
    <font>
      <b/>
      <sz val="10"/>
      <color theme="2"/>
      <name val="Arial"/>
      <family val="2"/>
    </font>
    <font>
      <b/>
      <sz val="10"/>
      <color theme="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26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6" tint="0.59999389629810485"/>
        <bgColor indexed="26"/>
      </patternFill>
    </fill>
    <fill>
      <patternFill patternType="solid">
        <fgColor theme="6" tint="0.59999389629810485"/>
        <bgColor indexed="31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6D"/>
        <bgColor indexed="64"/>
      </patternFill>
    </fill>
    <fill>
      <patternFill patternType="solid">
        <fgColor rgb="FF00B05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hair">
        <color indexed="57"/>
      </bottom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6" tint="0.59996337778862885"/>
      </left>
      <right/>
      <top style="thin">
        <color theme="6" tint="0.59996337778862885"/>
      </top>
      <bottom/>
      <diagonal/>
    </border>
    <border>
      <left/>
      <right style="thin">
        <color theme="6" tint="0.59996337778862885"/>
      </right>
      <top style="thin">
        <color theme="6" tint="0.59996337778862885"/>
      </top>
      <bottom/>
      <diagonal/>
    </border>
    <border>
      <left style="thin">
        <color theme="6" tint="0.59996337778862885"/>
      </left>
      <right/>
      <top/>
      <bottom/>
      <diagonal/>
    </border>
    <border>
      <left/>
      <right style="thin">
        <color theme="6" tint="0.59996337778862885"/>
      </right>
      <top/>
      <bottom/>
      <diagonal/>
    </border>
    <border>
      <left style="thin">
        <color theme="6" tint="0.59996337778862885"/>
      </left>
      <right/>
      <top/>
      <bottom style="thin">
        <color theme="6" tint="0.59996337778862885"/>
      </bottom>
      <diagonal/>
    </border>
    <border>
      <left/>
      <right style="thin">
        <color theme="6" tint="0.59996337778862885"/>
      </right>
      <top/>
      <bottom style="thin">
        <color theme="6" tint="0.59996337778862885"/>
      </bottom>
      <diagonal/>
    </border>
    <border>
      <left style="thin">
        <color theme="6" tint="0.59996337778862885"/>
      </left>
      <right/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59996337778862885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 style="thin">
        <color theme="8" tint="0.59996337778862885"/>
      </left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/>
      <diagonal/>
    </border>
    <border>
      <left/>
      <right style="thin">
        <color theme="8" tint="0.59996337778862885"/>
      </right>
      <top style="thin">
        <color theme="8" tint="0.59996337778862885"/>
      </top>
      <bottom/>
      <diagonal/>
    </border>
    <border>
      <left style="thin">
        <color theme="8" tint="0.59996337778862885"/>
      </left>
      <right/>
      <top/>
      <bottom/>
      <diagonal/>
    </border>
    <border>
      <left/>
      <right style="thin">
        <color theme="8" tint="0.59996337778862885"/>
      </right>
      <top/>
      <bottom/>
      <diagonal/>
    </border>
    <border>
      <left style="thin">
        <color theme="8" tint="0.59996337778862885"/>
      </left>
      <right/>
      <top/>
      <bottom style="thin">
        <color theme="8" tint="0.59996337778862885"/>
      </bottom>
      <diagonal/>
    </border>
    <border>
      <left/>
      <right style="thin">
        <color theme="8" tint="0.59996337778862885"/>
      </right>
      <top/>
      <bottom style="thin">
        <color theme="8" tint="0.59996337778862885"/>
      </bottom>
      <diagonal/>
    </border>
    <border>
      <left/>
      <right style="thin">
        <color theme="8" tint="0.59996337778862885"/>
      </right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9" tint="0.59996337778862885"/>
      </left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/>
      <diagonal/>
    </border>
    <border>
      <left/>
      <right style="thin">
        <color theme="9" tint="0.59996337778862885"/>
      </right>
      <top style="thin">
        <color theme="9" tint="0.59996337778862885"/>
      </top>
      <bottom/>
      <diagonal/>
    </border>
    <border>
      <left style="thin">
        <color theme="9" tint="0.59996337778862885"/>
      </left>
      <right/>
      <top/>
      <bottom/>
      <diagonal/>
    </border>
    <border>
      <left/>
      <right style="thin">
        <color theme="9" tint="0.59996337778862885"/>
      </right>
      <top/>
      <bottom/>
      <diagonal/>
    </border>
    <border>
      <left style="thin">
        <color theme="9" tint="0.59996337778862885"/>
      </left>
      <right/>
      <top/>
      <bottom style="thin">
        <color theme="9" tint="0.59996337778862885"/>
      </bottom>
      <diagonal/>
    </border>
    <border>
      <left/>
      <right style="thin">
        <color theme="9" tint="0.59996337778862885"/>
      </right>
      <top/>
      <bottom style="thin">
        <color theme="9" tint="0.59996337778862885"/>
      </bottom>
      <diagonal/>
    </border>
    <border>
      <left/>
      <right style="thin">
        <color theme="9" tint="0.59996337778862885"/>
      </right>
      <top style="thin">
        <color theme="9" tint="0.59996337778862885"/>
      </top>
      <bottom style="thin">
        <color theme="9" tint="0.59996337778862885"/>
      </bottom>
      <diagonal/>
    </border>
    <border>
      <left/>
      <right/>
      <top style="thin">
        <color theme="3" tint="0.59996337778862885"/>
      </top>
      <bottom/>
      <diagonal/>
    </border>
    <border>
      <left/>
      <right/>
      <top/>
      <bottom style="thin">
        <color theme="3" tint="0.59996337778862885"/>
      </bottom>
      <diagonal/>
    </border>
    <border>
      <left/>
      <right style="medium">
        <color indexed="13"/>
      </right>
      <top style="medium">
        <color indexed="13"/>
      </top>
      <bottom/>
      <diagonal/>
    </border>
    <border>
      <left/>
      <right style="medium">
        <color indexed="13"/>
      </right>
      <top/>
      <bottom/>
      <diagonal/>
    </border>
    <border>
      <left/>
      <right style="medium">
        <color indexed="13"/>
      </right>
      <top/>
      <bottom style="medium">
        <color indexed="13"/>
      </bottom>
      <diagonal/>
    </border>
    <border>
      <left style="thick">
        <color theme="0"/>
      </left>
      <right/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ck">
        <color theme="0"/>
      </right>
      <top style="thick">
        <color theme="0"/>
      </top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n">
        <color theme="6" tint="0.59996337778862885"/>
      </left>
      <right style="thin">
        <color theme="6" tint="0.59996337778862885"/>
      </right>
      <top/>
      <bottom style="thin">
        <color theme="6" tint="0.59996337778862885"/>
      </bottom>
      <diagonal/>
    </border>
    <border>
      <left/>
      <right/>
      <top/>
      <bottom style="thin">
        <color theme="6" tint="0.39994506668294322"/>
      </bottom>
      <diagonal/>
    </border>
    <border>
      <left style="thin">
        <color theme="6" tint="0.39991454817346722"/>
      </left>
      <right style="thin">
        <color theme="6" tint="0.59996337778862885"/>
      </right>
      <top style="thin">
        <color theme="6" tint="0.39994506668294322"/>
      </top>
      <bottom style="thin">
        <color theme="6" tint="0.59996337778862885"/>
      </bottom>
      <diagonal/>
    </border>
    <border>
      <left style="thin">
        <color theme="6" tint="0.39991454817346722"/>
      </left>
      <right style="thin">
        <color theme="6" tint="0.59996337778862885"/>
      </right>
      <top style="thin">
        <color theme="6" tint="0.59996337778862885"/>
      </top>
      <bottom style="thin">
        <color theme="6" tint="0.59996337778862885"/>
      </bottom>
      <diagonal/>
    </border>
    <border>
      <left/>
      <right/>
      <top style="thin">
        <color theme="6" tint="0.39994506668294322"/>
      </top>
      <bottom/>
      <diagonal/>
    </border>
    <border>
      <left/>
      <right style="thin">
        <color theme="6" tint="0.39991454817346722"/>
      </right>
      <top style="thin">
        <color theme="6" tint="0.39994506668294322"/>
      </top>
      <bottom/>
      <diagonal/>
    </border>
    <border>
      <left/>
      <right style="thin">
        <color theme="6" tint="0.39991454817346722"/>
      </right>
      <top/>
      <bottom/>
      <diagonal/>
    </border>
    <border>
      <left/>
      <right/>
      <top/>
      <bottom style="thin">
        <color theme="6" tint="0.39991454817346722"/>
      </bottom>
      <diagonal/>
    </border>
    <border>
      <left/>
      <right style="thin">
        <color theme="6" tint="0.39991454817346722"/>
      </right>
      <top/>
      <bottom style="thin">
        <color theme="6" tint="0.39991454817346722"/>
      </bottom>
      <diagonal/>
    </border>
    <border>
      <left style="thin">
        <color theme="6" tint="0.59996337778862885"/>
      </left>
      <right/>
      <top style="thin">
        <color theme="6" tint="0.39994506668294322"/>
      </top>
      <bottom/>
      <diagonal/>
    </border>
    <border>
      <left style="thin">
        <color theme="6" tint="0.59996337778862885"/>
      </left>
      <right/>
      <top style="thin">
        <color theme="6" tint="0.39994506668294322"/>
      </top>
      <bottom style="thin">
        <color theme="6" tint="0.59996337778862885"/>
      </bottom>
      <diagonal/>
    </border>
    <border>
      <left/>
      <right style="thin">
        <color theme="6" tint="0.59996337778862885"/>
      </right>
      <top style="thin">
        <color theme="6" tint="0.39994506668294322"/>
      </top>
      <bottom style="thin">
        <color theme="6" tint="0.59996337778862885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8" tint="0.59996337778862885"/>
      </bottom>
      <diagonal/>
    </border>
    <border>
      <left/>
      <right/>
      <top style="thin">
        <color theme="8" tint="0.59996337778862885"/>
      </top>
      <bottom/>
      <diagonal/>
    </border>
    <border>
      <left/>
      <right/>
      <top/>
      <bottom style="thin">
        <color theme="9" tint="0.59996337778862885"/>
      </bottom>
      <diagonal/>
    </border>
    <border>
      <left/>
      <right/>
      <top style="thin">
        <color theme="6" tint="0.59996337778862885"/>
      </top>
      <bottom/>
      <diagonal/>
    </border>
    <border>
      <left/>
      <right/>
      <top/>
      <bottom style="thin">
        <color theme="6" tint="0.59996337778862885"/>
      </bottom>
      <diagonal/>
    </border>
    <border>
      <left/>
      <right/>
      <top style="thin">
        <color theme="9" tint="0.59996337778862885"/>
      </top>
      <bottom/>
      <diagonal/>
    </border>
    <border>
      <left style="thin">
        <color theme="6" tint="0.59996337778862885"/>
      </left>
      <right style="thin">
        <color theme="6" tint="0.59996337778862885"/>
      </right>
      <top style="thin">
        <color theme="6" tint="0.39994506668294322"/>
      </top>
      <bottom style="thin">
        <color theme="6" tint="0.59996337778862885"/>
      </bottom>
      <diagonal/>
    </border>
    <border>
      <left style="thin">
        <color theme="8" tint="0.59996337778862885"/>
      </left>
      <right/>
      <top style="thin">
        <color theme="8" tint="0.59996337778862885"/>
      </top>
      <bottom style="thin">
        <color theme="8" tint="0.59996337778862885"/>
      </bottom>
      <diagonal/>
    </border>
    <border>
      <left style="thin">
        <color theme="9" tint="0.59996337778862885"/>
      </left>
      <right/>
      <top style="thin">
        <color theme="9" tint="0.59996337778862885"/>
      </top>
      <bottom style="thin">
        <color theme="9" tint="0.59996337778862885"/>
      </bottom>
      <diagonal/>
    </border>
    <border>
      <left style="thin">
        <color theme="7" tint="0.39994506668294322"/>
      </left>
      <right/>
      <top style="thin">
        <color theme="7" tint="0.39994506668294322"/>
      </top>
      <bottom/>
      <diagonal/>
    </border>
    <border>
      <left/>
      <right style="thin">
        <color theme="7" tint="0.39994506668294322"/>
      </right>
      <top style="thin">
        <color theme="7" tint="0.39994506668294322"/>
      </top>
      <bottom/>
      <diagonal/>
    </border>
    <border>
      <left style="thin">
        <color theme="7" tint="0.39994506668294322"/>
      </left>
      <right/>
      <top/>
      <bottom/>
      <diagonal/>
    </border>
    <border>
      <left/>
      <right style="thin">
        <color theme="7" tint="0.39994506668294322"/>
      </right>
      <top/>
      <bottom/>
      <diagonal/>
    </border>
    <border>
      <left style="thin">
        <color theme="7" tint="0.39994506668294322"/>
      </left>
      <right/>
      <top/>
      <bottom style="thin">
        <color theme="7" tint="0.39994506668294322"/>
      </bottom>
      <diagonal/>
    </border>
    <border>
      <left/>
      <right style="thin">
        <color theme="7" tint="0.39994506668294322"/>
      </right>
      <top/>
      <bottom style="thin">
        <color theme="7" tint="0.39994506668294322"/>
      </bottom>
      <diagonal/>
    </border>
    <border>
      <left/>
      <right/>
      <top/>
      <bottom style="medium">
        <color theme="9" tint="0.39994506668294322"/>
      </bottom>
      <diagonal/>
    </border>
    <border>
      <left style="medium">
        <color theme="9" tint="0.39991454817346722"/>
      </left>
      <right/>
      <top style="medium">
        <color theme="9" tint="0.39994506668294322"/>
      </top>
      <bottom style="medium">
        <color theme="9" tint="0.39991454817346722"/>
      </bottom>
      <diagonal/>
    </border>
    <border>
      <left/>
      <right/>
      <top style="medium">
        <color theme="9" tint="0.39994506668294322"/>
      </top>
      <bottom style="medium">
        <color theme="9" tint="0.39991454817346722"/>
      </bottom>
      <diagonal/>
    </border>
    <border>
      <left/>
      <right style="medium">
        <color theme="9" tint="0.39991454817346722"/>
      </right>
      <top style="medium">
        <color theme="9" tint="0.39994506668294322"/>
      </top>
      <bottom style="medium">
        <color theme="9" tint="0.39991454817346722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76">
    <xf numFmtId="0" fontId="0" fillId="0" borderId="0" xfId="0"/>
    <xf numFmtId="0" fontId="1" fillId="0" borderId="0" xfId="0" applyFont="1" applyFill="1" applyBorder="1" applyProtection="1">
      <protection hidden="1"/>
    </xf>
    <xf numFmtId="0" fontId="0" fillId="0" borderId="0" xfId="0" applyFont="1" applyFill="1" applyBorder="1" applyProtection="1">
      <protection hidden="1"/>
    </xf>
    <xf numFmtId="0" fontId="2" fillId="0" borderId="0" xfId="0" applyFont="1" applyFill="1" applyBorder="1" applyProtection="1">
      <protection hidden="1"/>
    </xf>
    <xf numFmtId="0" fontId="0" fillId="0" borderId="0" xfId="0" applyFill="1" applyBorder="1" applyProtection="1">
      <protection hidden="1"/>
    </xf>
    <xf numFmtId="0" fontId="15" fillId="0" borderId="0" xfId="0" applyFont="1" applyFill="1" applyBorder="1" applyProtection="1">
      <protection hidden="1"/>
    </xf>
    <xf numFmtId="0" fontId="18" fillId="0" borderId="0" xfId="0" applyFont="1" applyFill="1" applyBorder="1" applyProtection="1">
      <protection hidden="1"/>
    </xf>
    <xf numFmtId="0" fontId="20" fillId="0" borderId="0" xfId="1" applyNumberFormat="1" applyFont="1" applyFill="1" applyBorder="1" applyAlignment="1" applyProtection="1">
      <protection hidden="1"/>
    </xf>
    <xf numFmtId="0" fontId="22" fillId="0" borderId="0" xfId="0" applyFont="1" applyFill="1" applyBorder="1" applyProtection="1">
      <protection hidden="1"/>
    </xf>
    <xf numFmtId="0" fontId="21" fillId="0" borderId="0" xfId="0" applyFont="1" applyFill="1" applyBorder="1" applyAlignment="1" applyProtection="1">
      <protection hidden="1"/>
    </xf>
    <xf numFmtId="0" fontId="21" fillId="0" borderId="0" xfId="0" applyFont="1" applyFill="1" applyBorder="1" applyAlignment="1" applyProtection="1">
      <alignment horizontal="center"/>
      <protection hidden="1"/>
    </xf>
    <xf numFmtId="0" fontId="0" fillId="0" borderId="0" xfId="0" applyFill="1" applyProtection="1">
      <protection hidden="1"/>
    </xf>
    <xf numFmtId="0" fontId="22" fillId="0" borderId="0" xfId="0" applyFont="1" applyFill="1" applyProtection="1">
      <protection hidden="1"/>
    </xf>
    <xf numFmtId="0" fontId="2" fillId="0" borderId="0" xfId="0" applyFont="1" applyFill="1" applyProtection="1">
      <protection hidden="1"/>
    </xf>
    <xf numFmtId="0" fontId="27" fillId="0" borderId="0" xfId="0" applyFont="1" applyFill="1" applyBorder="1" applyAlignment="1" applyProtection="1">
      <alignment horizontal="center"/>
      <protection hidden="1"/>
    </xf>
    <xf numFmtId="0" fontId="27" fillId="0" borderId="0" xfId="0" applyFont="1" applyFill="1" applyBorder="1" applyProtection="1">
      <protection hidden="1"/>
    </xf>
    <xf numFmtId="0" fontId="34" fillId="0" borderId="5" xfId="0" applyFont="1" applyFill="1" applyBorder="1" applyAlignment="1" applyProtection="1">
      <alignment horizontal="center"/>
      <protection hidden="1"/>
    </xf>
    <xf numFmtId="0" fontId="36" fillId="0" borderId="0" xfId="0" applyFont="1" applyFill="1" applyBorder="1" applyProtection="1">
      <protection hidden="1"/>
    </xf>
    <xf numFmtId="0" fontId="37" fillId="0" borderId="0" xfId="0" applyFont="1" applyFill="1" applyBorder="1" applyAlignment="1" applyProtection="1">
      <alignment horizontal="center"/>
      <protection hidden="1"/>
    </xf>
    <xf numFmtId="0" fontId="38" fillId="0" borderId="0" xfId="0" applyFont="1" applyFill="1" applyBorder="1" applyAlignment="1" applyProtection="1">
      <alignment horizontal="center"/>
      <protection hidden="1"/>
    </xf>
    <xf numFmtId="166" fontId="0" fillId="0" borderId="0" xfId="0" applyNumberFormat="1" applyFont="1" applyFill="1" applyBorder="1" applyProtection="1">
      <protection hidden="1"/>
    </xf>
    <xf numFmtId="20" fontId="0" fillId="0" borderId="0" xfId="0" applyNumberFormat="1" applyFont="1" applyFill="1" applyBorder="1" applyProtection="1">
      <protection hidden="1"/>
    </xf>
    <xf numFmtId="0" fontId="0" fillId="0" borderId="0" xfId="0" applyFont="1" applyFill="1" applyBorder="1" applyAlignment="1" applyProtection="1">
      <alignment horizontal="right"/>
      <protection hidden="1"/>
    </xf>
    <xf numFmtId="0" fontId="9" fillId="0" borderId="0" xfId="0" applyFont="1" applyFill="1" applyBorder="1" applyProtection="1">
      <protection hidden="1"/>
    </xf>
    <xf numFmtId="0" fontId="31" fillId="0" borderId="0" xfId="0" applyFont="1" applyFill="1" applyBorder="1" applyAlignment="1" applyProtection="1">
      <alignment horizontal="center"/>
      <protection hidden="1"/>
    </xf>
    <xf numFmtId="0" fontId="35" fillId="0" borderId="0" xfId="0" applyFont="1" applyFill="1" applyBorder="1" applyProtection="1">
      <protection hidden="1"/>
    </xf>
    <xf numFmtId="0" fontId="0" fillId="0" borderId="0" xfId="0" applyFont="1" applyFill="1" applyBorder="1" applyAlignment="1" applyProtection="1">
      <alignment vertical="top"/>
      <protection hidden="1"/>
    </xf>
    <xf numFmtId="14" fontId="40" fillId="0" borderId="0" xfId="0" applyNumberFormat="1" applyFont="1" applyFill="1" applyBorder="1" applyAlignment="1" applyProtection="1">
      <alignment horizontal="center"/>
      <protection locked="0" hidden="1"/>
    </xf>
    <xf numFmtId="0" fontId="41" fillId="0" borderId="0" xfId="0" applyFont="1" applyFill="1" applyBorder="1" applyAlignment="1" applyProtection="1">
      <alignment horizontal="right"/>
      <protection hidden="1"/>
    </xf>
    <xf numFmtId="0" fontId="16" fillId="0" borderId="0" xfId="0" applyFont="1" applyFill="1" applyBorder="1" applyAlignment="1" applyProtection="1">
      <alignment horizontal="center"/>
      <protection locked="0" hidden="1"/>
    </xf>
    <xf numFmtId="0" fontId="41" fillId="0" borderId="0" xfId="0" applyFont="1" applyFill="1" applyBorder="1" applyAlignment="1" applyProtection="1">
      <alignment horizontal="left"/>
      <protection hidden="1"/>
    </xf>
    <xf numFmtId="0" fontId="42" fillId="0" borderId="3" xfId="0" applyFont="1" applyFill="1" applyBorder="1" applyAlignment="1" applyProtection="1">
      <alignment horizontal="center"/>
      <protection locked="0" hidden="1"/>
    </xf>
    <xf numFmtId="0" fontId="42" fillId="0" borderId="4" xfId="0" applyFont="1" applyFill="1" applyBorder="1" applyAlignment="1" applyProtection="1">
      <alignment horizontal="center"/>
      <protection locked="0" hidden="1"/>
    </xf>
    <xf numFmtId="0" fontId="0" fillId="0" borderId="0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right"/>
      <protection hidden="1"/>
    </xf>
    <xf numFmtId="14" fontId="45" fillId="0" borderId="0" xfId="0" applyNumberFormat="1" applyFont="1" applyFill="1" applyBorder="1" applyAlignment="1" applyProtection="1">
      <alignment horizontal="center"/>
      <protection hidden="1"/>
    </xf>
    <xf numFmtId="20" fontId="45" fillId="0" borderId="0" xfId="0" applyNumberFormat="1" applyFont="1" applyFill="1" applyBorder="1" applyAlignment="1" applyProtection="1">
      <alignment horizontal="left"/>
      <protection hidden="1"/>
    </xf>
    <xf numFmtId="0" fontId="42" fillId="0" borderId="0" xfId="0" applyFont="1" applyFill="1" applyBorder="1" applyAlignment="1" applyProtection="1">
      <protection hidden="1"/>
    </xf>
    <xf numFmtId="0" fontId="42" fillId="0" borderId="0" xfId="0" applyFont="1" applyFill="1" applyBorder="1" applyAlignment="1" applyProtection="1">
      <alignment horizontal="center"/>
      <protection hidden="1"/>
    </xf>
    <xf numFmtId="0" fontId="46" fillId="0" borderId="0" xfId="0" applyFont="1" applyFill="1" applyBorder="1" applyProtection="1">
      <protection hidden="1"/>
    </xf>
    <xf numFmtId="0" fontId="44" fillId="0" borderId="0" xfId="0" applyFont="1" applyFill="1" applyBorder="1" applyProtection="1">
      <protection hidden="1"/>
    </xf>
    <xf numFmtId="0" fontId="26" fillId="3" borderId="0" xfId="0" applyFont="1" applyFill="1" applyBorder="1" applyProtection="1">
      <protection hidden="1"/>
    </xf>
    <xf numFmtId="0" fontId="27" fillId="3" borderId="0" xfId="0" applyFont="1" applyFill="1" applyBorder="1" applyAlignment="1" applyProtection="1">
      <alignment horizontal="center"/>
      <protection hidden="1"/>
    </xf>
    <xf numFmtId="0" fontId="22" fillId="3" borderId="0" xfId="0" applyFont="1" applyFill="1" applyBorder="1" applyAlignment="1" applyProtection="1">
      <alignment horizontal="center"/>
      <protection hidden="1"/>
    </xf>
    <xf numFmtId="0" fontId="15" fillId="3" borderId="0" xfId="0" applyFont="1" applyFill="1" applyBorder="1" applyProtection="1">
      <protection hidden="1"/>
    </xf>
    <xf numFmtId="0" fontId="28" fillId="3" borderId="0" xfId="0" applyFont="1" applyFill="1" applyBorder="1" applyAlignment="1" applyProtection="1">
      <alignment horizontal="center"/>
      <protection hidden="1"/>
    </xf>
    <xf numFmtId="0" fontId="14" fillId="3" borderId="0" xfId="0" applyFont="1" applyFill="1" applyBorder="1" applyAlignment="1" applyProtection="1">
      <alignment horizontal="center"/>
      <protection hidden="1"/>
    </xf>
    <xf numFmtId="0" fontId="22" fillId="3" borderId="0" xfId="0" applyFont="1" applyFill="1" applyBorder="1" applyProtection="1">
      <protection hidden="1"/>
    </xf>
    <xf numFmtId="0" fontId="21" fillId="0" borderId="0" xfId="0" applyFont="1" applyFill="1" applyBorder="1" applyAlignment="1" applyProtection="1">
      <alignment horizontal="right"/>
      <protection hidden="1"/>
    </xf>
    <xf numFmtId="0" fontId="0" fillId="0" borderId="0" xfId="0" applyAlignment="1">
      <alignment vertical="center" wrapText="1"/>
    </xf>
    <xf numFmtId="0" fontId="55" fillId="0" borderId="0" xfId="0" applyFont="1" applyAlignment="1">
      <alignment horizontal="center" vertical="center"/>
    </xf>
    <xf numFmtId="0" fontId="56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54" fillId="0" borderId="0" xfId="1" applyFont="1" applyAlignment="1">
      <alignment horizontal="center" vertical="center"/>
    </xf>
    <xf numFmtId="0" fontId="8" fillId="0" borderId="0" xfId="1" applyNumberFormat="1" applyFont="1" applyFill="1" applyBorder="1" applyAlignment="1" applyProtection="1">
      <protection hidden="1"/>
    </xf>
    <xf numFmtId="14" fontId="48" fillId="0" borderId="0" xfId="0" applyNumberFormat="1" applyFont="1" applyFill="1" applyBorder="1" applyAlignment="1" applyProtection="1">
      <alignment horizontal="center"/>
      <protection locked="0" hidden="1"/>
    </xf>
    <xf numFmtId="0" fontId="0" fillId="0" borderId="0" xfId="0" applyFont="1" applyFill="1"/>
    <xf numFmtId="165" fontId="32" fillId="0" borderId="8" xfId="0" applyNumberFormat="1" applyFont="1" applyFill="1" applyBorder="1" applyAlignment="1" applyProtection="1">
      <alignment horizontal="left"/>
      <protection locked="0" hidden="1"/>
    </xf>
    <xf numFmtId="0" fontId="31" fillId="0" borderId="8" xfId="0" applyFont="1" applyFill="1" applyBorder="1" applyAlignment="1" applyProtection="1">
      <alignment horizontal="center"/>
      <protection locked="0" hidden="1"/>
    </xf>
    <xf numFmtId="0" fontId="34" fillId="0" borderId="8" xfId="0" applyFont="1" applyFill="1" applyBorder="1" applyAlignment="1" applyProtection="1">
      <alignment horizontal="center"/>
      <protection hidden="1"/>
    </xf>
    <xf numFmtId="0" fontId="0" fillId="0" borderId="9" xfId="0" applyFont="1" applyFill="1" applyBorder="1" applyProtection="1">
      <protection hidden="1"/>
    </xf>
    <xf numFmtId="0" fontId="11" fillId="12" borderId="0" xfId="0" applyFont="1" applyFill="1" applyBorder="1" applyProtection="1">
      <protection hidden="1"/>
    </xf>
    <xf numFmtId="164" fontId="11" fillId="12" borderId="0" xfId="0" applyNumberFormat="1" applyFont="1" applyFill="1" applyBorder="1" applyProtection="1">
      <protection hidden="1"/>
    </xf>
    <xf numFmtId="0" fontId="0" fillId="12" borderId="0" xfId="0" applyFont="1" applyFill="1" applyBorder="1" applyProtection="1">
      <protection hidden="1"/>
    </xf>
    <xf numFmtId="0" fontId="12" fillId="12" borderId="0" xfId="0" applyFont="1" applyFill="1" applyBorder="1" applyProtection="1">
      <protection hidden="1"/>
    </xf>
    <xf numFmtId="0" fontId="13" fillId="12" borderId="0" xfId="0" applyFont="1" applyFill="1" applyBorder="1" applyProtection="1">
      <protection hidden="1"/>
    </xf>
    <xf numFmtId="0" fontId="11" fillId="10" borderId="0" xfId="0" applyFont="1" applyFill="1" applyBorder="1" applyProtection="1">
      <protection hidden="1"/>
    </xf>
    <xf numFmtId="164" fontId="11" fillId="10" borderId="0" xfId="0" applyNumberFormat="1" applyFont="1" applyFill="1" applyBorder="1" applyProtection="1">
      <protection hidden="1"/>
    </xf>
    <xf numFmtId="0" fontId="0" fillId="10" borderId="0" xfId="0" applyFont="1" applyFill="1" applyBorder="1" applyProtection="1">
      <protection hidden="1"/>
    </xf>
    <xf numFmtId="0" fontId="12" fillId="10" borderId="0" xfId="0" applyFont="1" applyFill="1" applyBorder="1" applyProtection="1">
      <protection hidden="1"/>
    </xf>
    <xf numFmtId="0" fontId="13" fillId="10" borderId="0" xfId="0" applyFont="1" applyFill="1" applyBorder="1" applyProtection="1">
      <protection hidden="1"/>
    </xf>
    <xf numFmtId="0" fontId="35" fillId="10" borderId="0" xfId="0" applyFont="1" applyFill="1" applyBorder="1" applyProtection="1">
      <protection hidden="1"/>
    </xf>
    <xf numFmtId="165" fontId="32" fillId="0" borderId="17" xfId="0" applyNumberFormat="1" applyFont="1" applyFill="1" applyBorder="1" applyAlignment="1" applyProtection="1">
      <alignment horizontal="left"/>
      <protection locked="0" hidden="1"/>
    </xf>
    <xf numFmtId="0" fontId="31" fillId="0" borderId="17" xfId="0" applyFont="1" applyFill="1" applyBorder="1" applyAlignment="1" applyProtection="1">
      <alignment horizontal="center"/>
      <protection locked="0" hidden="1"/>
    </xf>
    <xf numFmtId="0" fontId="34" fillId="0" borderId="17" xfId="0" applyFont="1" applyFill="1" applyBorder="1" applyAlignment="1" applyProtection="1">
      <alignment horizontal="center"/>
      <protection hidden="1"/>
    </xf>
    <xf numFmtId="0" fontId="57" fillId="15" borderId="0" xfId="0" applyFont="1" applyFill="1" applyBorder="1" applyProtection="1">
      <protection hidden="1"/>
    </xf>
    <xf numFmtId="164" fontId="62" fillId="15" borderId="0" xfId="0" applyNumberFormat="1" applyFont="1" applyFill="1" applyBorder="1" applyProtection="1">
      <protection hidden="1"/>
    </xf>
    <xf numFmtId="0" fontId="63" fillId="15" borderId="0" xfId="0" applyFont="1" applyFill="1" applyBorder="1" applyProtection="1">
      <protection hidden="1"/>
    </xf>
    <xf numFmtId="0" fontId="62" fillId="15" borderId="0" xfId="0" applyFont="1" applyFill="1" applyBorder="1" applyProtection="1">
      <protection hidden="1"/>
    </xf>
    <xf numFmtId="165" fontId="32" fillId="0" borderId="27" xfId="0" applyNumberFormat="1" applyFont="1" applyFill="1" applyBorder="1" applyAlignment="1" applyProtection="1">
      <alignment horizontal="left"/>
      <protection locked="0" hidden="1"/>
    </xf>
    <xf numFmtId="0" fontId="31" fillId="0" borderId="27" xfId="0" applyFont="1" applyFill="1" applyBorder="1" applyAlignment="1" applyProtection="1">
      <alignment horizontal="center"/>
      <protection locked="0" hidden="1"/>
    </xf>
    <xf numFmtId="0" fontId="34" fillId="0" borderId="27" xfId="0" applyFont="1" applyFill="1" applyBorder="1" applyAlignment="1" applyProtection="1">
      <alignment horizontal="center"/>
      <protection hidden="1"/>
    </xf>
    <xf numFmtId="0" fontId="12" fillId="6" borderId="0" xfId="0" applyFont="1" applyFill="1" applyBorder="1" applyProtection="1">
      <protection hidden="1"/>
    </xf>
    <xf numFmtId="164" fontId="11" fillId="6" borderId="0" xfId="0" applyNumberFormat="1" applyFont="1" applyFill="1" applyBorder="1" applyProtection="1">
      <protection hidden="1"/>
    </xf>
    <xf numFmtId="0" fontId="35" fillId="6" borderId="0" xfId="0" applyFont="1" applyFill="1" applyBorder="1" applyProtection="1">
      <protection hidden="1"/>
    </xf>
    <xf numFmtId="0" fontId="11" fillId="6" borderId="0" xfId="0" applyFont="1" applyFill="1" applyBorder="1" applyProtection="1">
      <protection hidden="1"/>
    </xf>
    <xf numFmtId="0" fontId="13" fillId="6" borderId="0" xfId="0" applyFont="1" applyFill="1" applyBorder="1" applyProtection="1">
      <protection hidden="1"/>
    </xf>
    <xf numFmtId="165" fontId="32" fillId="0" borderId="35" xfId="0" applyNumberFormat="1" applyFont="1" applyFill="1" applyBorder="1" applyAlignment="1" applyProtection="1">
      <alignment horizontal="left"/>
      <protection locked="0" hidden="1"/>
    </xf>
    <xf numFmtId="0" fontId="31" fillId="0" borderId="35" xfId="0" applyFont="1" applyFill="1" applyBorder="1" applyAlignment="1" applyProtection="1">
      <alignment horizontal="center"/>
      <protection locked="0" hidden="1"/>
    </xf>
    <xf numFmtId="0" fontId="34" fillId="0" borderId="35" xfId="0" applyFont="1" applyFill="1" applyBorder="1" applyAlignment="1" applyProtection="1">
      <alignment horizontal="center"/>
      <protection hidden="1"/>
    </xf>
    <xf numFmtId="0" fontId="38" fillId="0" borderId="12" xfId="0" applyFont="1" applyFill="1" applyBorder="1" applyAlignment="1" applyProtection="1">
      <alignment horizontal="center"/>
      <protection hidden="1"/>
    </xf>
    <xf numFmtId="0" fontId="38" fillId="0" borderId="44" xfId="0" applyFont="1" applyFill="1" applyBorder="1" applyAlignment="1" applyProtection="1">
      <alignment horizontal="center"/>
      <protection hidden="1"/>
    </xf>
    <xf numFmtId="0" fontId="38" fillId="0" borderId="14" xfId="0" applyFont="1" applyFill="1" applyBorder="1" applyAlignment="1" applyProtection="1">
      <alignment horizontal="center"/>
      <protection hidden="1"/>
    </xf>
    <xf numFmtId="0" fontId="10" fillId="0" borderId="45" xfId="1" applyNumberFormat="1" applyFont="1" applyFill="1" applyBorder="1" applyAlignment="1" applyProtection="1">
      <protection hidden="1"/>
    </xf>
    <xf numFmtId="0" fontId="0" fillId="0" borderId="46" xfId="0" applyFont="1" applyFill="1" applyBorder="1" applyProtection="1">
      <protection hidden="1"/>
    </xf>
    <xf numFmtId="0" fontId="10" fillId="0" borderId="46" xfId="1" applyNumberFormat="1" applyFont="1" applyFill="1" applyBorder="1" applyAlignment="1" applyProtection="1">
      <protection hidden="1"/>
    </xf>
    <xf numFmtId="0" fontId="17" fillId="0" borderId="46" xfId="0" applyFont="1" applyFill="1" applyBorder="1" applyProtection="1">
      <protection hidden="1"/>
    </xf>
    <xf numFmtId="0" fontId="39" fillId="0" borderId="46" xfId="0" applyFont="1" applyFill="1" applyBorder="1" applyProtection="1">
      <protection hidden="1"/>
    </xf>
    <xf numFmtId="0" fontId="19" fillId="0" borderId="46" xfId="1" applyNumberFormat="1" applyFont="1" applyFill="1" applyBorder="1" applyAlignment="1" applyProtection="1">
      <protection hidden="1"/>
    </xf>
    <xf numFmtId="0" fontId="0" fillId="0" borderId="47" xfId="0" applyFont="1" applyFill="1" applyBorder="1" applyProtection="1">
      <protection hidden="1"/>
    </xf>
    <xf numFmtId="0" fontId="0" fillId="0" borderId="0" xfId="0" applyFont="1" applyFill="1" applyBorder="1"/>
    <xf numFmtId="0" fontId="0" fillId="14" borderId="0" xfId="0" applyFont="1" applyFill="1" applyBorder="1" applyProtection="1">
      <protection hidden="1"/>
    </xf>
    <xf numFmtId="0" fontId="1" fillId="14" borderId="0" xfId="0" applyFont="1" applyFill="1" applyBorder="1" applyProtection="1">
      <protection hidden="1"/>
    </xf>
    <xf numFmtId="0" fontId="2" fillId="14" borderId="0" xfId="0" applyFont="1" applyFill="1" applyBorder="1" applyProtection="1">
      <protection hidden="1"/>
    </xf>
    <xf numFmtId="0" fontId="16" fillId="14" borderId="49" xfId="0" applyFont="1" applyFill="1" applyBorder="1" applyAlignment="1" applyProtection="1">
      <alignment horizontal="center" vertical="center" wrapText="1"/>
      <protection hidden="1"/>
    </xf>
    <xf numFmtId="0" fontId="0" fillId="14" borderId="49" xfId="0" applyFont="1" applyFill="1" applyBorder="1" applyAlignment="1" applyProtection="1">
      <alignment vertical="center"/>
      <protection hidden="1"/>
    </xf>
    <xf numFmtId="0" fontId="0" fillId="14" borderId="50" xfId="0" applyFont="1" applyFill="1" applyBorder="1" applyProtection="1">
      <protection hidden="1"/>
    </xf>
    <xf numFmtId="0" fontId="0" fillId="0" borderId="51" xfId="0" applyFont="1" applyFill="1" applyBorder="1" applyProtection="1">
      <protection hidden="1"/>
    </xf>
    <xf numFmtId="0" fontId="0" fillId="0" borderId="52" xfId="0" applyFont="1" applyFill="1" applyBorder="1" applyProtection="1">
      <protection hidden="1"/>
    </xf>
    <xf numFmtId="0" fontId="0" fillId="0" borderId="53" xfId="0" applyFont="1" applyFill="1" applyBorder="1" applyProtection="1">
      <protection hidden="1"/>
    </xf>
    <xf numFmtId="0" fontId="0" fillId="0" borderId="54" xfId="0" applyFont="1" applyFill="1" applyBorder="1" applyProtection="1">
      <protection hidden="1"/>
    </xf>
    <xf numFmtId="0" fontId="0" fillId="0" borderId="55" xfId="0" applyFont="1" applyFill="1" applyBorder="1" applyProtection="1">
      <protection hidden="1"/>
    </xf>
    <xf numFmtId="0" fontId="60" fillId="14" borderId="54" xfId="0" applyFont="1" applyFill="1" applyBorder="1" applyProtection="1">
      <protection hidden="1"/>
    </xf>
    <xf numFmtId="0" fontId="0" fillId="14" borderId="54" xfId="0" applyFont="1" applyFill="1" applyBorder="1" applyAlignment="1" applyProtection="1">
      <alignment horizontal="center" vertical="top"/>
      <protection hidden="1"/>
    </xf>
    <xf numFmtId="0" fontId="0" fillId="14" borderId="54" xfId="0" applyFont="1" applyFill="1" applyBorder="1" applyProtection="1">
      <protection hidden="1"/>
    </xf>
    <xf numFmtId="0" fontId="29" fillId="14" borderId="54" xfId="0" applyFont="1" applyFill="1" applyBorder="1" applyProtection="1">
      <protection hidden="1"/>
    </xf>
    <xf numFmtId="0" fontId="0" fillId="14" borderId="55" xfId="0" applyFont="1" applyFill="1" applyBorder="1" applyProtection="1">
      <protection hidden="1"/>
    </xf>
    <xf numFmtId="0" fontId="31" fillId="0" borderId="15" xfId="0" applyFont="1" applyFill="1" applyBorder="1" applyAlignment="1" applyProtection="1">
      <alignment horizontal="center"/>
      <protection hidden="1"/>
    </xf>
    <xf numFmtId="0" fontId="33" fillId="0" borderId="16" xfId="0" applyFont="1" applyFill="1" applyBorder="1" applyProtection="1">
      <protection hidden="1"/>
    </xf>
    <xf numFmtId="0" fontId="58" fillId="0" borderId="0" xfId="0" applyFont="1" applyFill="1" applyBorder="1" applyAlignment="1" applyProtection="1">
      <alignment horizontal="center"/>
      <protection hidden="1"/>
    </xf>
    <xf numFmtId="165" fontId="32" fillId="0" borderId="56" xfId="0" applyNumberFormat="1" applyFont="1" applyFill="1" applyBorder="1" applyAlignment="1" applyProtection="1">
      <alignment horizontal="left"/>
      <protection locked="0" hidden="1"/>
    </xf>
    <xf numFmtId="0" fontId="12" fillId="4" borderId="57" xfId="0" applyFont="1" applyFill="1" applyBorder="1" applyProtection="1">
      <protection hidden="1"/>
    </xf>
    <xf numFmtId="164" fontId="11" fillId="4" borderId="57" xfId="0" applyNumberFormat="1" applyFont="1" applyFill="1" applyBorder="1" applyProtection="1">
      <protection hidden="1"/>
    </xf>
    <xf numFmtId="0" fontId="35" fillId="4" borderId="57" xfId="0" applyFont="1" applyFill="1" applyBorder="1" applyProtection="1">
      <protection hidden="1"/>
    </xf>
    <xf numFmtId="0" fontId="11" fillId="4" borderId="57" xfId="0" applyFont="1" applyFill="1" applyBorder="1" applyProtection="1">
      <protection hidden="1"/>
    </xf>
    <xf numFmtId="0" fontId="13" fillId="4" borderId="57" xfId="0" applyFont="1" applyFill="1" applyBorder="1" applyProtection="1">
      <protection hidden="1"/>
    </xf>
    <xf numFmtId="0" fontId="0" fillId="14" borderId="48" xfId="0" applyFont="1" applyFill="1" applyBorder="1" applyProtection="1">
      <protection hidden="1"/>
    </xf>
    <xf numFmtId="0" fontId="0" fillId="14" borderId="51" xfId="0" applyFont="1" applyFill="1" applyBorder="1" applyProtection="1">
      <protection hidden="1"/>
    </xf>
    <xf numFmtId="0" fontId="0" fillId="14" borderId="53" xfId="0" applyFont="1" applyFill="1" applyBorder="1" applyProtection="1">
      <protection hidden="1"/>
    </xf>
    <xf numFmtId="14" fontId="32" fillId="0" borderId="16" xfId="0" applyNumberFormat="1" applyFont="1" applyFill="1" applyBorder="1" applyAlignment="1" applyProtection="1">
      <alignment horizontal="center"/>
      <protection locked="0" hidden="1"/>
    </xf>
    <xf numFmtId="14" fontId="32" fillId="0" borderId="26" xfId="0" applyNumberFormat="1" applyFont="1" applyFill="1" applyBorder="1" applyAlignment="1" applyProtection="1">
      <alignment horizontal="center"/>
      <protection locked="0" hidden="1"/>
    </xf>
    <xf numFmtId="14" fontId="32" fillId="0" borderId="34" xfId="0" applyNumberFormat="1" applyFont="1" applyFill="1" applyBorder="1" applyAlignment="1" applyProtection="1">
      <alignment horizontal="center"/>
      <protection locked="0" hidden="1"/>
    </xf>
    <xf numFmtId="14" fontId="32" fillId="0" borderId="42" xfId="0" applyNumberFormat="1" applyFont="1" applyFill="1" applyBorder="1" applyAlignment="1" applyProtection="1">
      <alignment horizontal="center"/>
      <protection locked="0" hidden="1"/>
    </xf>
    <xf numFmtId="0" fontId="50" fillId="14" borderId="0" xfId="0" applyFont="1" applyFill="1" applyBorder="1" applyProtection="1">
      <protection hidden="1"/>
    </xf>
    <xf numFmtId="0" fontId="0" fillId="14" borderId="1" xfId="0" applyFont="1" applyFill="1" applyBorder="1" applyProtection="1">
      <protection hidden="1"/>
    </xf>
    <xf numFmtId="0" fontId="0" fillId="14" borderId="49" xfId="0" applyFont="1" applyFill="1" applyBorder="1" applyProtection="1">
      <protection hidden="1"/>
    </xf>
    <xf numFmtId="0" fontId="0" fillId="14" borderId="52" xfId="0" applyFont="1" applyFill="1" applyBorder="1" applyProtection="1">
      <protection hidden="1"/>
    </xf>
    <xf numFmtId="0" fontId="49" fillId="14" borderId="49" xfId="0" applyFont="1" applyFill="1" applyBorder="1" applyProtection="1">
      <protection hidden="1"/>
    </xf>
    <xf numFmtId="0" fontId="42" fillId="0" borderId="6" xfId="0" applyNumberFormat="1" applyFont="1" applyFill="1" applyBorder="1" applyAlignment="1" applyProtection="1">
      <alignment horizontal="center"/>
      <protection locked="0" hidden="1"/>
    </xf>
    <xf numFmtId="0" fontId="34" fillId="0" borderId="2" xfId="0" applyFont="1" applyFill="1" applyBorder="1" applyAlignment="1" applyProtection="1">
      <alignment horizontal="center"/>
      <protection hidden="1"/>
    </xf>
    <xf numFmtId="0" fontId="42" fillId="0" borderId="7" xfId="0" applyNumberFormat="1" applyFont="1" applyFill="1" applyBorder="1" applyAlignment="1" applyProtection="1">
      <alignment horizontal="center"/>
      <protection locked="0" hidden="1"/>
    </xf>
    <xf numFmtId="0" fontId="0" fillId="4" borderId="54" xfId="0" applyFont="1" applyFill="1" applyBorder="1" applyProtection="1">
      <protection hidden="1"/>
    </xf>
    <xf numFmtId="0" fontId="9" fillId="4" borderId="54" xfId="0" applyFont="1" applyFill="1" applyBorder="1" applyProtection="1">
      <protection hidden="1"/>
    </xf>
    <xf numFmtId="0" fontId="1" fillId="4" borderId="54" xfId="0" applyFont="1" applyFill="1" applyBorder="1" applyProtection="1">
      <protection hidden="1"/>
    </xf>
    <xf numFmtId="14" fontId="32" fillId="0" borderId="58" xfId="0" applyNumberFormat="1" applyFont="1" applyFill="1" applyBorder="1" applyAlignment="1" applyProtection="1">
      <alignment horizontal="center"/>
      <protection locked="0" hidden="1"/>
    </xf>
    <xf numFmtId="14" fontId="32" fillId="0" borderId="59" xfId="0" applyNumberFormat="1" applyFont="1" applyFill="1" applyBorder="1" applyAlignment="1" applyProtection="1">
      <alignment horizontal="center"/>
      <protection locked="0" hidden="1"/>
    </xf>
    <xf numFmtId="0" fontId="58" fillId="0" borderId="62" xfId="0" applyFont="1" applyFill="1" applyBorder="1" applyAlignment="1" applyProtection="1">
      <alignment horizontal="center"/>
      <protection hidden="1"/>
    </xf>
    <xf numFmtId="0" fontId="38" fillId="0" borderId="62" xfId="0" applyFont="1" applyFill="1" applyBorder="1" applyAlignment="1" applyProtection="1">
      <alignment horizontal="center"/>
      <protection hidden="1"/>
    </xf>
    <xf numFmtId="0" fontId="37" fillId="0" borderId="63" xfId="0" applyFont="1" applyFill="1" applyBorder="1" applyAlignment="1" applyProtection="1">
      <alignment horizontal="center"/>
      <protection hidden="1"/>
    </xf>
    <xf numFmtId="0" fontId="38" fillId="0" borderId="63" xfId="0" applyFont="1" applyFill="1" applyBorder="1" applyAlignment="1" applyProtection="1">
      <alignment horizontal="center"/>
      <protection hidden="1"/>
    </xf>
    <xf numFmtId="0" fontId="38" fillId="0" borderId="64" xfId="0" applyFont="1" applyFill="1" applyBorder="1" applyAlignment="1" applyProtection="1">
      <alignment horizontal="center"/>
      <protection hidden="1"/>
    </xf>
    <xf numFmtId="0" fontId="1" fillId="0" borderId="15" xfId="0" applyFont="1" applyFill="1" applyBorder="1" applyAlignment="1" applyProtection="1">
      <alignment horizontal="right"/>
      <protection hidden="1"/>
    </xf>
    <xf numFmtId="0" fontId="1" fillId="0" borderId="66" xfId="0" applyFont="1" applyFill="1" applyBorder="1" applyAlignment="1" applyProtection="1">
      <alignment horizontal="right"/>
      <protection hidden="1"/>
    </xf>
    <xf numFmtId="0" fontId="1" fillId="0" borderId="24" xfId="0" applyFont="1" applyFill="1" applyBorder="1" applyAlignment="1" applyProtection="1">
      <alignment horizontal="right"/>
      <protection hidden="1"/>
    </xf>
    <xf numFmtId="0" fontId="1" fillId="0" borderId="67" xfId="0" applyFont="1" applyFill="1" applyBorder="1" applyProtection="1">
      <protection hidden="1"/>
    </xf>
    <xf numFmtId="0" fontId="1" fillId="0" borderId="26" xfId="0" applyFont="1" applyFill="1" applyBorder="1" applyProtection="1">
      <protection hidden="1"/>
    </xf>
    <xf numFmtId="0" fontId="22" fillId="16" borderId="0" xfId="0" applyFont="1" applyFill="1" applyBorder="1" applyProtection="1">
      <protection hidden="1"/>
    </xf>
    <xf numFmtId="0" fontId="22" fillId="16" borderId="0" xfId="0" applyFont="1" applyFill="1" applyProtection="1">
      <protection hidden="1"/>
    </xf>
    <xf numFmtId="0" fontId="20" fillId="16" borderId="0" xfId="1" applyNumberFormat="1" applyFont="1" applyFill="1" applyBorder="1" applyAlignment="1" applyProtection="1">
      <protection hidden="1"/>
    </xf>
    <xf numFmtId="0" fontId="2" fillId="16" borderId="0" xfId="0" applyFont="1" applyFill="1" applyProtection="1">
      <protection hidden="1"/>
    </xf>
    <xf numFmtId="0" fontId="0" fillId="16" borderId="0" xfId="0" applyFill="1" applyProtection="1">
      <protection hidden="1"/>
    </xf>
    <xf numFmtId="0" fontId="22" fillId="17" borderId="0" xfId="0" applyFont="1" applyFill="1" applyProtection="1">
      <protection hidden="1"/>
    </xf>
    <xf numFmtId="0" fontId="22" fillId="17" borderId="0" xfId="0" applyFont="1" applyFill="1" applyBorder="1" applyProtection="1">
      <protection hidden="1"/>
    </xf>
    <xf numFmtId="0" fontId="70" fillId="17" borderId="0" xfId="0" applyFont="1" applyFill="1" applyProtection="1">
      <protection hidden="1"/>
    </xf>
    <xf numFmtId="0" fontId="71" fillId="17" borderId="0" xfId="0" applyFont="1" applyFill="1" applyAlignment="1" applyProtection="1">
      <alignment horizontal="center"/>
      <protection hidden="1"/>
    </xf>
    <xf numFmtId="0" fontId="51" fillId="14" borderId="0" xfId="0" applyFont="1" applyFill="1" applyBorder="1" applyAlignment="1" applyProtection="1">
      <alignment vertical="center"/>
      <protection hidden="1"/>
    </xf>
    <xf numFmtId="0" fontId="72" fillId="14" borderId="0" xfId="0" applyFont="1" applyFill="1" applyBorder="1" applyProtection="1">
      <protection hidden="1"/>
    </xf>
    <xf numFmtId="0" fontId="73" fillId="0" borderId="0" xfId="0" applyFont="1" applyFill="1" applyProtection="1">
      <protection hidden="1"/>
    </xf>
    <xf numFmtId="0" fontId="42" fillId="0" borderId="6" xfId="0" applyFont="1" applyFill="1" applyBorder="1" applyAlignment="1" applyProtection="1">
      <alignment horizontal="center"/>
      <protection locked="0" hidden="1"/>
    </xf>
    <xf numFmtId="0" fontId="42" fillId="0" borderId="7" xfId="0" applyFont="1" applyFill="1" applyBorder="1" applyAlignment="1" applyProtection="1">
      <alignment horizontal="center"/>
      <protection locked="0" hidden="1"/>
    </xf>
    <xf numFmtId="0" fontId="0" fillId="20" borderId="0" xfId="0" applyFont="1" applyFill="1" applyBorder="1" applyProtection="1">
      <protection hidden="1"/>
    </xf>
    <xf numFmtId="0" fontId="9" fillId="20" borderId="0" xfId="0" applyFont="1" applyFill="1" applyBorder="1" applyProtection="1">
      <protection hidden="1"/>
    </xf>
    <xf numFmtId="0" fontId="1" fillId="20" borderId="0" xfId="0" applyFont="1" applyFill="1" applyBorder="1" applyProtection="1">
      <protection hidden="1"/>
    </xf>
    <xf numFmtId="0" fontId="44" fillId="20" borderId="0" xfId="0" applyFont="1" applyFill="1" applyBorder="1" applyProtection="1">
      <protection hidden="1"/>
    </xf>
    <xf numFmtId="0" fontId="31" fillId="0" borderId="68" xfId="0" applyFont="1" applyFill="1" applyBorder="1" applyAlignment="1" applyProtection="1">
      <alignment horizontal="center"/>
      <protection hidden="1"/>
    </xf>
    <xf numFmtId="0" fontId="47" fillId="21" borderId="0" xfId="0" applyFont="1" applyFill="1" applyBorder="1" applyProtection="1">
      <protection hidden="1"/>
    </xf>
    <xf numFmtId="0" fontId="23" fillId="21" borderId="0" xfId="0" applyFont="1" applyFill="1" applyBorder="1" applyProtection="1">
      <protection hidden="1"/>
    </xf>
    <xf numFmtId="0" fontId="24" fillId="21" borderId="0" xfId="0" applyFont="1" applyFill="1" applyBorder="1" applyProtection="1">
      <protection hidden="1"/>
    </xf>
    <xf numFmtId="0" fontId="44" fillId="21" borderId="0" xfId="0" applyFont="1" applyFill="1" applyBorder="1" applyProtection="1">
      <protection hidden="1"/>
    </xf>
    <xf numFmtId="0" fontId="57" fillId="21" borderId="0" xfId="0" applyFont="1" applyFill="1" applyBorder="1" applyAlignment="1" applyProtection="1">
      <alignment vertical="center"/>
      <protection hidden="1"/>
    </xf>
    <xf numFmtId="0" fontId="62" fillId="21" borderId="0" xfId="0" applyFont="1" applyFill="1" applyBorder="1" applyProtection="1">
      <protection hidden="1"/>
    </xf>
    <xf numFmtId="0" fontId="57" fillId="21" borderId="0" xfId="0" applyFont="1" applyFill="1" applyBorder="1" applyProtection="1">
      <protection hidden="1"/>
    </xf>
    <xf numFmtId="14" fontId="32" fillId="0" borderId="8" xfId="0" applyNumberFormat="1" applyFont="1" applyFill="1" applyBorder="1" applyAlignment="1" applyProtection="1">
      <alignment horizontal="center"/>
      <protection locked="0" hidden="1"/>
    </xf>
    <xf numFmtId="0" fontId="57" fillId="4" borderId="54" xfId="0" applyFont="1" applyFill="1" applyBorder="1" applyAlignment="1" applyProtection="1">
      <alignment vertical="center"/>
      <protection hidden="1"/>
    </xf>
    <xf numFmtId="0" fontId="57" fillId="20" borderId="0" xfId="0" applyFont="1" applyFill="1" applyBorder="1" applyAlignment="1" applyProtection="1">
      <alignment vertical="center"/>
      <protection hidden="1"/>
    </xf>
    <xf numFmtId="0" fontId="65" fillId="0" borderId="8" xfId="0" applyFont="1" applyFill="1" applyBorder="1" applyProtection="1">
      <protection hidden="1"/>
    </xf>
    <xf numFmtId="0" fontId="67" fillId="0" borderId="56" xfId="0" applyFont="1" applyFill="1" applyBorder="1" applyProtection="1">
      <protection hidden="1"/>
    </xf>
    <xf numFmtId="0" fontId="67" fillId="0" borderId="17" xfId="0" applyFont="1" applyFill="1" applyBorder="1" applyProtection="1">
      <protection hidden="1"/>
    </xf>
    <xf numFmtId="0" fontId="63" fillId="0" borderId="27" xfId="0" applyFont="1" applyFill="1" applyBorder="1" applyProtection="1">
      <protection hidden="1"/>
    </xf>
    <xf numFmtId="0" fontId="68" fillId="0" borderId="35" xfId="0" applyFont="1" applyFill="1" applyBorder="1" applyProtection="1">
      <protection hidden="1"/>
    </xf>
    <xf numFmtId="0" fontId="43" fillId="0" borderId="0" xfId="0" applyFont="1" applyFill="1" applyBorder="1" applyProtection="1">
      <protection hidden="1"/>
    </xf>
    <xf numFmtId="0" fontId="0" fillId="8" borderId="0" xfId="0" applyFont="1" applyFill="1" applyBorder="1" applyAlignment="1" applyProtection="1">
      <alignment horizontal="left"/>
      <protection hidden="1"/>
    </xf>
    <xf numFmtId="0" fontId="0" fillId="6" borderId="0" xfId="0" applyFont="1" applyFill="1" applyBorder="1" applyAlignment="1" applyProtection="1">
      <alignment horizontal="left"/>
      <protection hidden="1"/>
    </xf>
    <xf numFmtId="0" fontId="0" fillId="7" borderId="0" xfId="0" applyFont="1" applyFill="1" applyBorder="1" applyAlignment="1" applyProtection="1">
      <alignment horizontal="left"/>
      <protection hidden="1"/>
    </xf>
    <xf numFmtId="0" fontId="0" fillId="9" borderId="0" xfId="0" applyFont="1" applyFill="1" applyBorder="1" applyAlignment="1" applyProtection="1">
      <alignment horizontal="left"/>
      <protection hidden="1"/>
    </xf>
    <xf numFmtId="0" fontId="0" fillId="10" borderId="0" xfId="0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0" fillId="4" borderId="0" xfId="0" applyFont="1" applyFill="1" applyBorder="1" applyProtection="1">
      <protection hidden="1"/>
    </xf>
    <xf numFmtId="0" fontId="9" fillId="11" borderId="0" xfId="0" applyFont="1" applyFill="1" applyBorder="1" applyAlignment="1" applyProtection="1">
      <alignment horizontal="center"/>
      <protection hidden="1"/>
    </xf>
    <xf numFmtId="0" fontId="44" fillId="5" borderId="0" xfId="0" applyFont="1" applyFill="1" applyBorder="1" applyProtection="1">
      <protection hidden="1"/>
    </xf>
    <xf numFmtId="0" fontId="44" fillId="13" borderId="0" xfId="0" applyFont="1" applyFill="1" applyBorder="1" applyProtection="1">
      <protection hidden="1"/>
    </xf>
    <xf numFmtId="0" fontId="22" fillId="16" borderId="0" xfId="0" applyFont="1" applyFill="1" applyBorder="1" applyProtection="1">
      <protection locked="0" hidden="1"/>
    </xf>
    <xf numFmtId="0" fontId="0" fillId="23" borderId="0" xfId="0" applyFill="1" applyBorder="1"/>
    <xf numFmtId="0" fontId="79" fillId="25" borderId="0" xfId="0" applyFont="1" applyFill="1" applyBorder="1" applyAlignment="1" applyProtection="1">
      <alignment horizontal="left"/>
      <protection hidden="1"/>
    </xf>
    <xf numFmtId="0" fontId="80" fillId="25" borderId="0" xfId="0" applyFont="1" applyFill="1" applyBorder="1" applyAlignment="1" applyProtection="1">
      <alignment horizontal="left"/>
      <protection hidden="1"/>
    </xf>
    <xf numFmtId="0" fontId="57" fillId="26" borderId="0" xfId="0" applyFont="1" applyFill="1" applyBorder="1" applyAlignment="1" applyProtection="1">
      <alignment horizontal="left"/>
      <protection hidden="1"/>
    </xf>
    <xf numFmtId="0" fontId="81" fillId="25" borderId="0" xfId="0" applyFont="1" applyFill="1" applyBorder="1" applyAlignment="1" applyProtection="1">
      <alignment horizontal="left"/>
      <protection hidden="1"/>
    </xf>
    <xf numFmtId="0" fontId="0" fillId="25" borderId="0" xfId="0" applyFont="1" applyFill="1" applyBorder="1" applyAlignment="1" applyProtection="1">
      <alignment horizontal="left"/>
      <protection hidden="1"/>
    </xf>
    <xf numFmtId="0" fontId="0" fillId="10" borderId="0" xfId="0" applyFill="1" applyBorder="1" applyAlignment="1">
      <alignment horizontal="left"/>
    </xf>
    <xf numFmtId="0" fontId="0" fillId="23" borderId="0" xfId="0" applyFont="1" applyFill="1" applyBorder="1" applyProtection="1">
      <protection hidden="1"/>
    </xf>
    <xf numFmtId="0" fontId="83" fillId="23" borderId="0" xfId="0" applyFont="1" applyFill="1" applyBorder="1" applyAlignment="1" applyProtection="1">
      <alignment horizontal="center"/>
      <protection hidden="1"/>
    </xf>
    <xf numFmtId="0" fontId="0" fillId="0" borderId="0" xfId="0" applyFont="1" applyFill="1" applyBorder="1" applyProtection="1">
      <protection locked="0" hidden="1"/>
    </xf>
    <xf numFmtId="0" fontId="29" fillId="0" borderId="0" xfId="0" applyFont="1" applyFill="1" applyBorder="1" applyProtection="1">
      <protection locked="0" hidden="1"/>
    </xf>
    <xf numFmtId="0" fontId="30" fillId="0" borderId="0" xfId="0" applyFont="1" applyFill="1" applyBorder="1" applyAlignment="1" applyProtection="1">
      <alignment horizontal="center" vertical="top"/>
      <protection locked="0" hidden="1"/>
    </xf>
    <xf numFmtId="0" fontId="66" fillId="0" borderId="0" xfId="0" applyFont="1" applyFill="1" applyBorder="1" applyAlignment="1" applyProtection="1">
      <alignment horizontal="center"/>
      <protection hidden="1"/>
    </xf>
    <xf numFmtId="0" fontId="66" fillId="0" borderId="12" xfId="0" applyFont="1" applyFill="1" applyBorder="1" applyAlignment="1" applyProtection="1">
      <alignment horizontal="center"/>
      <protection hidden="1"/>
    </xf>
    <xf numFmtId="0" fontId="37" fillId="0" borderId="44" xfId="0" applyFont="1" applyFill="1" applyBorder="1" applyAlignment="1" applyProtection="1">
      <alignment horizontal="center"/>
      <protection hidden="1"/>
    </xf>
    <xf numFmtId="0" fontId="0" fillId="0" borderId="78" xfId="0" applyFont="1" applyFill="1" applyBorder="1" applyProtection="1">
      <protection hidden="1"/>
    </xf>
    <xf numFmtId="0" fontId="57" fillId="0" borderId="0" xfId="0" applyFont="1" applyFill="1" applyBorder="1" applyAlignment="1" applyProtection="1">
      <alignment horizontal="center"/>
      <protection hidden="1"/>
    </xf>
    <xf numFmtId="0" fontId="57" fillId="0" borderId="31" xfId="0" applyFont="1" applyFill="1" applyBorder="1" applyAlignment="1" applyProtection="1">
      <alignment horizontal="center"/>
      <protection hidden="1"/>
    </xf>
    <xf numFmtId="0" fontId="38" fillId="0" borderId="31" xfId="0" applyFont="1" applyFill="1" applyBorder="1" applyAlignment="1" applyProtection="1">
      <alignment horizontal="center"/>
      <protection hidden="1"/>
    </xf>
    <xf numFmtId="0" fontId="37" fillId="0" borderId="78" xfId="0" applyFont="1" applyFill="1" applyBorder="1" applyAlignment="1" applyProtection="1">
      <alignment horizontal="center"/>
      <protection hidden="1"/>
    </xf>
    <xf numFmtId="0" fontId="38" fillId="0" borderId="78" xfId="0" applyFont="1" applyFill="1" applyBorder="1" applyAlignment="1" applyProtection="1">
      <alignment horizontal="center"/>
      <protection hidden="1"/>
    </xf>
    <xf numFmtId="0" fontId="38" fillId="0" borderId="33" xfId="0" applyFont="1" applyFill="1" applyBorder="1" applyAlignment="1" applyProtection="1">
      <alignment horizontal="center"/>
      <protection hidden="1"/>
    </xf>
    <xf numFmtId="0" fontId="0" fillId="0" borderId="80" xfId="0" applyFont="1" applyFill="1" applyBorder="1" applyProtection="1">
      <protection hidden="1"/>
    </xf>
    <xf numFmtId="0" fontId="64" fillId="0" borderId="0" xfId="0" applyFont="1" applyFill="1" applyBorder="1" applyAlignment="1" applyProtection="1">
      <alignment horizontal="center"/>
      <protection hidden="1"/>
    </xf>
    <xf numFmtId="0" fontId="64" fillId="0" borderId="39" xfId="0" applyFont="1" applyFill="1" applyBorder="1" applyAlignment="1" applyProtection="1">
      <alignment horizontal="center"/>
      <protection hidden="1"/>
    </xf>
    <xf numFmtId="0" fontId="38" fillId="0" borderId="39" xfId="0" applyFont="1" applyFill="1" applyBorder="1" applyAlignment="1" applyProtection="1">
      <alignment horizontal="center"/>
      <protection hidden="1"/>
    </xf>
    <xf numFmtId="0" fontId="37" fillId="0" borderId="80" xfId="0" applyFont="1" applyFill="1" applyBorder="1" applyAlignment="1" applyProtection="1">
      <alignment horizontal="center"/>
      <protection hidden="1"/>
    </xf>
    <xf numFmtId="0" fontId="38" fillId="0" borderId="80" xfId="0" applyFont="1" applyFill="1" applyBorder="1" applyAlignment="1" applyProtection="1">
      <alignment horizontal="center"/>
      <protection hidden="1"/>
    </xf>
    <xf numFmtId="0" fontId="38" fillId="0" borderId="41" xfId="0" applyFont="1" applyFill="1" applyBorder="1" applyAlignment="1" applyProtection="1">
      <alignment horizontal="center"/>
      <protection hidden="1"/>
    </xf>
    <xf numFmtId="0" fontId="58" fillId="0" borderId="21" xfId="0" applyFont="1" applyFill="1" applyBorder="1" applyAlignment="1" applyProtection="1">
      <alignment horizontal="center"/>
      <protection hidden="1"/>
    </xf>
    <xf numFmtId="0" fontId="38" fillId="0" borderId="21" xfId="0" applyFont="1" applyFill="1" applyBorder="1" applyAlignment="1" applyProtection="1">
      <alignment horizontal="center"/>
      <protection hidden="1"/>
    </xf>
    <xf numFmtId="0" fontId="0" fillId="0" borderId="82" xfId="0" applyFont="1" applyFill="1" applyBorder="1" applyProtection="1">
      <protection hidden="1"/>
    </xf>
    <xf numFmtId="0" fontId="37" fillId="0" borderId="82" xfId="0" applyFont="1" applyFill="1" applyBorder="1" applyAlignment="1" applyProtection="1">
      <alignment horizontal="center"/>
      <protection hidden="1"/>
    </xf>
    <xf numFmtId="0" fontId="38" fillId="0" borderId="82" xfId="0" applyFont="1" applyFill="1" applyBorder="1" applyAlignment="1" applyProtection="1">
      <alignment horizontal="center"/>
      <protection hidden="1"/>
    </xf>
    <xf numFmtId="0" fontId="38" fillId="0" borderId="23" xfId="0" applyFont="1" applyFill="1" applyBorder="1" applyAlignment="1" applyProtection="1">
      <alignment horizontal="center"/>
      <protection hidden="1"/>
    </xf>
    <xf numFmtId="0" fontId="1" fillId="0" borderId="25" xfId="0" applyFont="1" applyFill="1" applyBorder="1" applyAlignment="1" applyProtection="1">
      <alignment horizontal="left"/>
      <protection hidden="1"/>
    </xf>
    <xf numFmtId="0" fontId="31" fillId="0" borderId="84" xfId="0" applyFont="1" applyFill="1" applyBorder="1" applyAlignment="1" applyProtection="1">
      <alignment horizontal="center"/>
      <protection locked="0" hidden="1"/>
    </xf>
    <xf numFmtId="0" fontId="34" fillId="0" borderId="84" xfId="0" applyFont="1" applyFill="1" applyBorder="1" applyAlignment="1" applyProtection="1">
      <alignment horizontal="center"/>
      <protection hidden="1"/>
    </xf>
    <xf numFmtId="0" fontId="0" fillId="0" borderId="44" xfId="0" applyFont="1" applyFill="1" applyBorder="1" applyProtection="1">
      <protection hidden="1"/>
    </xf>
    <xf numFmtId="0" fontId="1" fillId="0" borderId="16" xfId="0" applyFont="1" applyFill="1" applyBorder="1" applyAlignment="1" applyProtection="1">
      <alignment horizontal="left"/>
      <protection hidden="1"/>
    </xf>
    <xf numFmtId="0" fontId="33" fillId="0" borderId="67" xfId="0" applyFont="1" applyFill="1" applyBorder="1" applyProtection="1">
      <protection hidden="1"/>
    </xf>
    <xf numFmtId="0" fontId="33" fillId="0" borderId="26" xfId="0" applyFont="1" applyFill="1" applyBorder="1" applyProtection="1">
      <protection hidden="1"/>
    </xf>
    <xf numFmtId="0" fontId="31" fillId="0" borderId="66" xfId="0" applyFont="1" applyFill="1" applyBorder="1" applyAlignment="1" applyProtection="1">
      <alignment horizontal="center"/>
      <protection hidden="1"/>
    </xf>
    <xf numFmtId="0" fontId="31" fillId="0" borderId="24" xfId="0" applyFont="1" applyFill="1" applyBorder="1" applyAlignment="1" applyProtection="1">
      <alignment horizontal="center"/>
      <protection hidden="1"/>
    </xf>
    <xf numFmtId="0" fontId="33" fillId="0" borderId="34" xfId="0" applyFont="1" applyFill="1" applyBorder="1" applyProtection="1">
      <protection hidden="1"/>
    </xf>
    <xf numFmtId="0" fontId="0" fillId="0" borderId="34" xfId="0" applyFill="1" applyBorder="1" applyProtection="1">
      <protection hidden="1"/>
    </xf>
    <xf numFmtId="0" fontId="0" fillId="0" borderId="85" xfId="0" applyFill="1" applyBorder="1" applyAlignment="1" applyProtection="1">
      <alignment horizontal="right"/>
      <protection hidden="1"/>
    </xf>
    <xf numFmtId="0" fontId="31" fillId="0" borderId="85" xfId="0" applyFont="1" applyFill="1" applyBorder="1" applyAlignment="1" applyProtection="1">
      <alignment horizontal="center"/>
      <protection hidden="1"/>
    </xf>
    <xf numFmtId="0" fontId="0" fillId="0" borderId="16" xfId="0" applyFill="1" applyBorder="1" applyProtection="1">
      <protection hidden="1"/>
    </xf>
    <xf numFmtId="0" fontId="0" fillId="0" borderId="15" xfId="0" applyFill="1" applyBorder="1" applyAlignment="1" applyProtection="1">
      <alignment horizontal="right"/>
      <protection hidden="1"/>
    </xf>
    <xf numFmtId="0" fontId="0" fillId="0" borderId="26" xfId="0" applyFill="1" applyBorder="1" applyProtection="1">
      <protection hidden="1"/>
    </xf>
    <xf numFmtId="0" fontId="0" fillId="0" borderId="24" xfId="0" applyFill="1" applyBorder="1" applyAlignment="1" applyProtection="1">
      <alignment horizontal="right"/>
      <protection hidden="1"/>
    </xf>
    <xf numFmtId="0" fontId="33" fillId="0" borderId="42" xfId="0" applyFont="1" applyFill="1" applyBorder="1" applyProtection="1">
      <protection hidden="1"/>
    </xf>
    <xf numFmtId="0" fontId="0" fillId="0" borderId="42" xfId="0" applyFill="1" applyBorder="1" applyProtection="1">
      <protection hidden="1"/>
    </xf>
    <xf numFmtId="0" fontId="0" fillId="0" borderId="86" xfId="0" applyFill="1" applyBorder="1" applyAlignment="1" applyProtection="1">
      <alignment horizontal="right"/>
      <protection hidden="1"/>
    </xf>
    <xf numFmtId="0" fontId="31" fillId="0" borderId="86" xfId="0" applyFont="1" applyFill="1" applyBorder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89" fillId="0" borderId="70" xfId="0" applyFont="1" applyBorder="1" applyProtection="1">
      <protection locked="0" hidden="1"/>
    </xf>
    <xf numFmtId="0" fontId="0" fillId="0" borderId="0" xfId="0" applyProtection="1">
      <protection hidden="1"/>
    </xf>
    <xf numFmtId="0" fontId="0" fillId="0" borderId="0" xfId="0" applyBorder="1" applyAlignment="1" applyProtection="1">
      <protection hidden="1"/>
    </xf>
    <xf numFmtId="0" fontId="0" fillId="0" borderId="70" xfId="0" applyBorder="1" applyProtection="1">
      <protection hidden="1"/>
    </xf>
    <xf numFmtId="0" fontId="85" fillId="0" borderId="0" xfId="1" applyFont="1" applyAlignment="1" applyProtection="1">
      <alignment horizontal="center" vertical="center"/>
      <protection hidden="1"/>
    </xf>
    <xf numFmtId="0" fontId="54" fillId="0" borderId="0" xfId="1" applyFont="1" applyAlignment="1">
      <alignment horizontal="right"/>
    </xf>
    <xf numFmtId="0" fontId="0" fillId="0" borderId="0" xfId="0" applyFill="1" applyBorder="1" applyProtection="1">
      <protection locked="0" hidden="1"/>
    </xf>
    <xf numFmtId="0" fontId="0" fillId="0" borderId="0" xfId="0" applyBorder="1" applyProtection="1"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10" borderId="0" xfId="0" applyFont="1" applyFill="1" applyBorder="1" applyAlignment="1" applyProtection="1">
      <alignment vertical="center"/>
      <protection hidden="1"/>
    </xf>
    <xf numFmtId="0" fontId="0" fillId="10" borderId="0" xfId="0" applyFill="1" applyProtection="1">
      <protection hidden="1"/>
    </xf>
    <xf numFmtId="167" fontId="40" fillId="0" borderId="0" xfId="0" applyNumberFormat="1" applyFont="1" applyFill="1" applyBorder="1" applyAlignment="1" applyProtection="1">
      <alignment horizontal="left"/>
      <protection locked="0" hidden="1"/>
    </xf>
    <xf numFmtId="167" fontId="48" fillId="0" borderId="0" xfId="0" applyNumberFormat="1" applyFont="1" applyFill="1" applyBorder="1" applyAlignment="1" applyProtection="1">
      <alignment horizontal="left"/>
      <protection locked="0" hidden="1"/>
    </xf>
    <xf numFmtId="0" fontId="60" fillId="0" borderId="20" xfId="0" applyFont="1" applyFill="1" applyBorder="1" applyProtection="1">
      <protection hidden="1"/>
    </xf>
    <xf numFmtId="0" fontId="60" fillId="0" borderId="22" xfId="0" applyFont="1" applyFill="1" applyBorder="1" applyProtection="1">
      <protection hidden="1"/>
    </xf>
    <xf numFmtId="0" fontId="60" fillId="0" borderId="11" xfId="0" applyFont="1" applyFill="1" applyBorder="1" applyAlignment="1" applyProtection="1">
      <alignment horizontal="right"/>
      <protection hidden="1"/>
    </xf>
    <xf numFmtId="0" fontId="60" fillId="0" borderId="13" xfId="0" applyFont="1" applyFill="1" applyBorder="1" applyAlignment="1" applyProtection="1">
      <alignment horizontal="right"/>
      <protection hidden="1"/>
    </xf>
    <xf numFmtId="0" fontId="60" fillId="0" borderId="20" xfId="0" applyFont="1" applyFill="1" applyBorder="1" applyAlignment="1" applyProtection="1">
      <alignment horizontal="right"/>
      <protection hidden="1"/>
    </xf>
    <xf numFmtId="0" fontId="60" fillId="0" borderId="22" xfId="0" applyFont="1" applyFill="1" applyBorder="1" applyAlignment="1" applyProtection="1">
      <alignment horizontal="right"/>
      <protection hidden="1"/>
    </xf>
    <xf numFmtId="0" fontId="60" fillId="0" borderId="11" xfId="0" applyFont="1" applyFill="1" applyBorder="1" applyProtection="1">
      <protection hidden="1"/>
    </xf>
    <xf numFmtId="0" fontId="60" fillId="0" borderId="0" xfId="0" applyFont="1" applyFill="1" applyBorder="1" applyProtection="1">
      <protection hidden="1"/>
    </xf>
    <xf numFmtId="0" fontId="60" fillId="4" borderId="57" xfId="0" applyFont="1" applyFill="1" applyBorder="1" applyProtection="1">
      <protection hidden="1"/>
    </xf>
    <xf numFmtId="0" fontId="60" fillId="0" borderId="65" xfId="0" applyFont="1" applyFill="1" applyBorder="1" applyProtection="1">
      <protection hidden="1"/>
    </xf>
    <xf numFmtId="0" fontId="60" fillId="15" borderId="0" xfId="0" applyFont="1" applyFill="1" applyBorder="1" applyProtection="1">
      <protection hidden="1"/>
    </xf>
    <xf numFmtId="0" fontId="60" fillId="0" borderId="28" xfId="0" applyFont="1" applyFill="1" applyBorder="1" applyProtection="1">
      <protection hidden="1"/>
    </xf>
    <xf numFmtId="0" fontId="60" fillId="0" borderId="30" xfId="0" applyFont="1" applyFill="1" applyBorder="1" applyProtection="1">
      <protection hidden="1"/>
    </xf>
    <xf numFmtId="0" fontId="60" fillId="0" borderId="32" xfId="0" applyFont="1" applyFill="1" applyBorder="1" applyProtection="1">
      <protection hidden="1"/>
    </xf>
    <xf numFmtId="0" fontId="60" fillId="6" borderId="0" xfId="0" applyFont="1" applyFill="1" applyBorder="1" applyProtection="1">
      <protection hidden="1"/>
    </xf>
    <xf numFmtId="0" fontId="60" fillId="0" borderId="36" xfId="0" applyFont="1" applyFill="1" applyBorder="1" applyProtection="1">
      <protection hidden="1"/>
    </xf>
    <xf numFmtId="0" fontId="60" fillId="0" borderId="38" xfId="0" applyFont="1" applyFill="1" applyBorder="1" applyProtection="1">
      <protection hidden="1"/>
    </xf>
    <xf numFmtId="0" fontId="60" fillId="0" borderId="40" xfId="0" applyFont="1" applyFill="1" applyBorder="1" applyProtection="1">
      <protection hidden="1"/>
    </xf>
    <xf numFmtId="0" fontId="60" fillId="12" borderId="0" xfId="0" applyFont="1" applyFill="1" applyBorder="1" applyProtection="1">
      <protection hidden="1"/>
    </xf>
    <xf numFmtId="0" fontId="60" fillId="0" borderId="9" xfId="0" applyFont="1" applyFill="1" applyBorder="1" applyProtection="1">
      <protection hidden="1"/>
    </xf>
    <xf numFmtId="0" fontId="60" fillId="0" borderId="13" xfId="0" applyFont="1" applyFill="1" applyBorder="1" applyProtection="1">
      <protection hidden="1"/>
    </xf>
    <xf numFmtId="0" fontId="60" fillId="10" borderId="0" xfId="0" applyFont="1" applyFill="1" applyBorder="1" applyProtection="1">
      <protection hidden="1"/>
    </xf>
    <xf numFmtId="0" fontId="60" fillId="0" borderId="18" xfId="0" applyFont="1" applyFill="1" applyBorder="1" applyProtection="1">
      <protection hidden="1"/>
    </xf>
    <xf numFmtId="0" fontId="95" fillId="0" borderId="0" xfId="0" applyFont="1" applyFill="1" applyBorder="1" applyProtection="1">
      <protection hidden="1"/>
    </xf>
    <xf numFmtId="0" fontId="0" fillId="0" borderId="63" xfId="0" applyFont="1" applyFill="1" applyBorder="1" applyProtection="1">
      <protection hidden="1"/>
    </xf>
    <xf numFmtId="0" fontId="99" fillId="14" borderId="0" xfId="0" applyFont="1" applyFill="1" applyBorder="1" applyProtection="1">
      <protection hidden="1"/>
    </xf>
    <xf numFmtId="0" fontId="100" fillId="14" borderId="0" xfId="1" applyFont="1" applyFill="1" applyBorder="1" applyAlignment="1" applyProtection="1">
      <alignment vertical="center"/>
      <protection hidden="1"/>
    </xf>
    <xf numFmtId="0" fontId="100" fillId="14" borderId="0" xfId="0" applyFont="1" applyFill="1" applyBorder="1" applyAlignment="1" applyProtection="1">
      <alignment vertical="center"/>
      <protection hidden="1"/>
    </xf>
    <xf numFmtId="0" fontId="0" fillId="29" borderId="0" xfId="0" applyFill="1" applyBorder="1" applyProtection="1">
      <protection hidden="1"/>
    </xf>
    <xf numFmtId="0" fontId="0" fillId="28" borderId="0" xfId="0" applyFill="1" applyBorder="1" applyProtection="1">
      <protection hidden="1"/>
    </xf>
    <xf numFmtId="0" fontId="0" fillId="18" borderId="0" xfId="0" applyFill="1" applyBorder="1" applyProtection="1">
      <protection hidden="1"/>
    </xf>
    <xf numFmtId="0" fontId="0" fillId="5" borderId="0" xfId="0" applyFill="1" applyBorder="1" applyProtection="1">
      <protection hidden="1"/>
    </xf>
    <xf numFmtId="0" fontId="0" fillId="14" borderId="0" xfId="0" applyFont="1" applyFill="1" applyBorder="1" applyProtection="1">
      <protection locked="0"/>
    </xf>
    <xf numFmtId="0" fontId="92" fillId="14" borderId="54" xfId="1" applyFont="1" applyFill="1" applyBorder="1" applyAlignment="1" applyProtection="1">
      <alignment horizontal="center" vertical="top"/>
      <protection locked="0" hidden="1"/>
    </xf>
    <xf numFmtId="0" fontId="2" fillId="4" borderId="54" xfId="0" applyFont="1" applyFill="1" applyBorder="1" applyAlignment="1" applyProtection="1">
      <alignment horizontal="center"/>
      <protection hidden="1"/>
    </xf>
    <xf numFmtId="0" fontId="12" fillId="10" borderId="0" xfId="0" applyFont="1" applyFill="1" applyBorder="1" applyAlignment="1" applyProtection="1">
      <alignment horizontal="left"/>
      <protection hidden="1"/>
    </xf>
    <xf numFmtId="0" fontId="57" fillId="15" borderId="0" xfId="0" applyFont="1" applyFill="1" applyBorder="1" applyAlignment="1" applyProtection="1">
      <alignment horizontal="left"/>
      <protection hidden="1"/>
    </xf>
    <xf numFmtId="0" fontId="52" fillId="0" borderId="0" xfId="0" applyFont="1" applyFill="1" applyBorder="1" applyAlignment="1" applyProtection="1">
      <protection hidden="1"/>
    </xf>
    <xf numFmtId="0" fontId="53" fillId="0" borderId="0" xfId="0" applyFont="1" applyFill="1" applyBorder="1" applyAlignment="1" applyProtection="1">
      <alignment vertical="top" wrapText="1"/>
      <protection hidden="1"/>
    </xf>
    <xf numFmtId="0" fontId="64" fillId="0" borderId="83" xfId="0" applyFont="1" applyFill="1" applyBorder="1" applyAlignment="1" applyProtection="1">
      <protection hidden="1"/>
    </xf>
    <xf numFmtId="0" fontId="64" fillId="0" borderId="37" xfId="0" applyFont="1" applyFill="1" applyBorder="1" applyAlignment="1" applyProtection="1">
      <protection hidden="1"/>
    </xf>
    <xf numFmtId="0" fontId="12" fillId="6" borderId="0" xfId="0" applyFont="1" applyFill="1" applyBorder="1" applyAlignment="1" applyProtection="1">
      <alignment horizontal="left"/>
      <protection hidden="1"/>
    </xf>
    <xf numFmtId="0" fontId="9" fillId="19" borderId="54" xfId="0" applyFont="1" applyFill="1" applyBorder="1" applyAlignment="1" applyProtection="1">
      <alignment horizontal="center"/>
      <protection hidden="1"/>
    </xf>
    <xf numFmtId="0" fontId="91" fillId="14" borderId="0" xfId="1" applyFont="1" applyFill="1" applyBorder="1" applyAlignment="1" applyProtection="1">
      <alignment horizontal="center"/>
      <protection locked="0" hidden="1"/>
    </xf>
    <xf numFmtId="0" fontId="8" fillId="18" borderId="0" xfId="1" applyFill="1" applyBorder="1" applyAlignment="1" applyProtection="1">
      <alignment horizontal="center"/>
      <protection locked="0" hidden="1"/>
    </xf>
    <xf numFmtId="0" fontId="58" fillId="4" borderId="57" xfId="0" applyFont="1" applyFill="1" applyBorder="1" applyAlignment="1" applyProtection="1">
      <alignment horizontal="center"/>
      <protection hidden="1"/>
    </xf>
    <xf numFmtId="0" fontId="12" fillId="4" borderId="57" xfId="0" applyFont="1" applyFill="1" applyBorder="1" applyAlignment="1" applyProtection="1">
      <alignment horizontal="left"/>
      <protection hidden="1"/>
    </xf>
    <xf numFmtId="0" fontId="58" fillId="0" borderId="81" xfId="0" applyFont="1" applyFill="1" applyBorder="1" applyAlignment="1" applyProtection="1">
      <protection hidden="1"/>
    </xf>
    <xf numFmtId="0" fontId="58" fillId="0" borderId="19" xfId="0" applyFont="1" applyFill="1" applyBorder="1" applyAlignment="1" applyProtection="1">
      <protection hidden="1"/>
    </xf>
    <xf numFmtId="0" fontId="64" fillId="6" borderId="0" xfId="0" applyFont="1" applyFill="1" applyBorder="1" applyAlignment="1" applyProtection="1">
      <alignment horizontal="center"/>
      <protection hidden="1"/>
    </xf>
    <xf numFmtId="0" fontId="57" fillId="15" borderId="0" xfId="0" applyFont="1" applyFill="1" applyBorder="1" applyAlignment="1" applyProtection="1">
      <alignment horizontal="center"/>
      <protection hidden="1"/>
    </xf>
    <xf numFmtId="0" fontId="59" fillId="12" borderId="0" xfId="0" applyFont="1" applyFill="1" applyBorder="1" applyAlignment="1" applyProtection="1">
      <alignment horizontal="center"/>
      <protection hidden="1"/>
    </xf>
    <xf numFmtId="0" fontId="58" fillId="10" borderId="0" xfId="0" applyFont="1" applyFill="1" applyBorder="1" applyAlignment="1" applyProtection="1">
      <alignment horizontal="center"/>
      <protection hidden="1"/>
    </xf>
    <xf numFmtId="0" fontId="11" fillId="12" borderId="0" xfId="0" applyFont="1" applyFill="1" applyBorder="1" applyAlignment="1" applyProtection="1">
      <alignment horizontal="left"/>
      <protection hidden="1"/>
    </xf>
    <xf numFmtId="0" fontId="66" fillId="0" borderId="43" xfId="0" applyFont="1" applyFill="1" applyBorder="1" applyAlignment="1" applyProtection="1">
      <protection hidden="1"/>
    </xf>
    <xf numFmtId="0" fontId="66" fillId="0" borderId="10" xfId="0" applyFont="1" applyFill="1" applyBorder="1" applyAlignment="1" applyProtection="1">
      <protection hidden="1"/>
    </xf>
    <xf numFmtId="0" fontId="61" fillId="14" borderId="49" xfId="1" applyFont="1" applyFill="1" applyBorder="1" applyAlignment="1" applyProtection="1">
      <alignment horizontal="center" vertical="center"/>
      <protection locked="0" hidden="1"/>
    </xf>
    <xf numFmtId="0" fontId="96" fillId="14" borderId="49" xfId="1" applyNumberFormat="1" applyFont="1" applyFill="1" applyBorder="1" applyAlignment="1" applyProtection="1">
      <alignment horizontal="center" vertical="center"/>
      <protection hidden="1"/>
    </xf>
    <xf numFmtId="0" fontId="69" fillId="14" borderId="54" xfId="0" applyFont="1" applyFill="1" applyBorder="1" applyAlignment="1" applyProtection="1">
      <alignment horizontal="center" vertical="center"/>
      <protection hidden="1"/>
    </xf>
    <xf numFmtId="0" fontId="97" fillId="14" borderId="54" xfId="1" applyNumberFormat="1" applyFont="1" applyFill="1" applyBorder="1" applyAlignment="1" applyProtection="1">
      <alignment horizontal="center" vertical="center"/>
      <protection locked="0" hidden="1"/>
    </xf>
    <xf numFmtId="0" fontId="66" fillId="0" borderId="43" xfId="0" applyFont="1" applyFill="1" applyBorder="1" applyAlignment="1" applyProtection="1">
      <alignment vertical="center"/>
      <protection hidden="1"/>
    </xf>
    <xf numFmtId="0" fontId="66" fillId="0" borderId="10" xfId="0" applyFont="1" applyFill="1" applyBorder="1" applyAlignment="1" applyProtection="1">
      <alignment vertical="center"/>
      <protection hidden="1"/>
    </xf>
    <xf numFmtId="0" fontId="57" fillId="0" borderId="79" xfId="0" applyFont="1" applyFill="1" applyBorder="1" applyAlignment="1" applyProtection="1">
      <protection hidden="1"/>
    </xf>
    <xf numFmtId="0" fontId="57" fillId="0" borderId="29" xfId="0" applyFont="1" applyFill="1" applyBorder="1" applyAlignment="1" applyProtection="1">
      <protection hidden="1"/>
    </xf>
    <xf numFmtId="0" fontId="20" fillId="0" borderId="0" xfId="1" applyNumberFormat="1" applyFont="1" applyFill="1" applyBorder="1" applyAlignment="1" applyProtection="1">
      <alignment horizontal="center"/>
      <protection hidden="1"/>
    </xf>
    <xf numFmtId="0" fontId="84" fillId="0" borderId="0" xfId="1" applyNumberFormat="1" applyFont="1" applyFill="1" applyBorder="1" applyAlignment="1" applyProtection="1">
      <protection hidden="1"/>
    </xf>
    <xf numFmtId="0" fontId="64" fillId="0" borderId="0" xfId="0" applyFont="1" applyFill="1" applyBorder="1" applyAlignment="1" applyProtection="1">
      <protection hidden="1"/>
    </xf>
    <xf numFmtId="0" fontId="64" fillId="0" borderId="39" xfId="0" applyFont="1" applyFill="1" applyBorder="1" applyAlignment="1" applyProtection="1">
      <protection hidden="1"/>
    </xf>
    <xf numFmtId="0" fontId="58" fillId="0" borderId="60" xfId="0" applyFont="1" applyFill="1" applyBorder="1" applyAlignment="1" applyProtection="1">
      <alignment vertical="center"/>
      <protection hidden="1"/>
    </xf>
    <xf numFmtId="0" fontId="58" fillId="0" borderId="61" xfId="0" applyFont="1" applyFill="1" applyBorder="1" applyAlignment="1" applyProtection="1">
      <alignment vertical="center"/>
      <protection hidden="1"/>
    </xf>
    <xf numFmtId="0" fontId="22" fillId="2" borderId="0" xfId="0" applyFont="1" applyFill="1" applyBorder="1" applyAlignment="1" applyProtection="1">
      <alignment horizontal="center"/>
      <protection hidden="1"/>
    </xf>
    <xf numFmtId="0" fontId="25" fillId="2" borderId="0" xfId="0" applyFont="1" applyFill="1" applyBorder="1" applyAlignment="1" applyProtection="1">
      <alignment horizontal="center"/>
      <protection hidden="1"/>
    </xf>
    <xf numFmtId="0" fontId="93" fillId="0" borderId="94" xfId="0" applyFont="1" applyBorder="1" applyAlignment="1" applyProtection="1">
      <alignment vertical="center"/>
      <protection locked="0"/>
    </xf>
    <xf numFmtId="0" fontId="93" fillId="0" borderId="95" xfId="0" applyFont="1" applyBorder="1" applyAlignment="1" applyProtection="1">
      <alignment vertical="center"/>
      <protection locked="0"/>
    </xf>
    <xf numFmtId="0" fontId="93" fillId="0" borderId="96" xfId="0" applyFont="1" applyBorder="1" applyAlignment="1" applyProtection="1">
      <alignment vertical="center"/>
      <protection locked="0"/>
    </xf>
    <xf numFmtId="0" fontId="0" fillId="0" borderId="93" xfId="0" applyBorder="1" applyAlignment="1" applyProtection="1">
      <alignment horizontal="left"/>
      <protection hidden="1"/>
    </xf>
    <xf numFmtId="0" fontId="90" fillId="0" borderId="87" xfId="0" applyFont="1" applyBorder="1" applyAlignment="1" applyProtection="1">
      <alignment horizontal="left" vertical="center" wrapText="1"/>
      <protection hidden="1"/>
    </xf>
    <xf numFmtId="0" fontId="90" fillId="0" borderId="88" xfId="0" applyFont="1" applyBorder="1" applyAlignment="1" applyProtection="1">
      <alignment horizontal="left" vertical="center" wrapText="1"/>
      <protection hidden="1"/>
    </xf>
    <xf numFmtId="0" fontId="90" fillId="0" borderId="89" xfId="0" applyFont="1" applyBorder="1" applyAlignment="1" applyProtection="1">
      <alignment horizontal="left" vertical="center" wrapText="1"/>
      <protection hidden="1"/>
    </xf>
    <xf numFmtId="0" fontId="90" fillId="0" borderId="90" xfId="0" applyFont="1" applyBorder="1" applyAlignment="1" applyProtection="1">
      <alignment horizontal="left" vertical="center" wrapText="1"/>
      <protection hidden="1"/>
    </xf>
    <xf numFmtId="0" fontId="90" fillId="0" borderId="91" xfId="0" applyFont="1" applyBorder="1" applyAlignment="1" applyProtection="1">
      <alignment horizontal="left" vertical="center" wrapText="1"/>
      <protection hidden="1"/>
    </xf>
    <xf numFmtId="0" fontId="90" fillId="0" borderId="92" xfId="0" applyFont="1" applyBorder="1" applyAlignment="1" applyProtection="1">
      <alignment horizontal="left" vertical="center" wrapText="1"/>
      <protection hidden="1"/>
    </xf>
    <xf numFmtId="0" fontId="87" fillId="0" borderId="71" xfId="0" applyFont="1" applyBorder="1" applyAlignment="1" applyProtection="1">
      <alignment horizontal="left" vertical="center"/>
      <protection hidden="1"/>
    </xf>
    <xf numFmtId="0" fontId="87" fillId="0" borderId="72" xfId="0" applyFont="1" applyBorder="1" applyAlignment="1" applyProtection="1">
      <alignment horizontal="left" vertical="center"/>
      <protection hidden="1"/>
    </xf>
    <xf numFmtId="0" fontId="86" fillId="0" borderId="72" xfId="1" applyFont="1" applyBorder="1" applyAlignment="1" applyProtection="1">
      <alignment horizontal="left" vertical="center"/>
      <protection hidden="1"/>
    </xf>
    <xf numFmtId="0" fontId="86" fillId="0" borderId="73" xfId="1" applyFont="1" applyBorder="1" applyAlignment="1" applyProtection="1">
      <alignment horizontal="left" vertical="center"/>
      <protection hidden="1"/>
    </xf>
    <xf numFmtId="0" fontId="85" fillId="0" borderId="76" xfId="1" applyFont="1" applyBorder="1" applyAlignment="1" applyProtection="1">
      <alignment horizontal="left" vertical="center"/>
      <protection hidden="1"/>
    </xf>
    <xf numFmtId="0" fontId="85" fillId="0" borderId="69" xfId="1" applyFont="1" applyBorder="1" applyAlignment="1" applyProtection="1">
      <alignment horizontal="left" vertical="center"/>
      <protection hidden="1"/>
    </xf>
    <xf numFmtId="0" fontId="85" fillId="0" borderId="77" xfId="1" applyFont="1" applyBorder="1" applyAlignment="1" applyProtection="1">
      <alignment horizontal="left" vertical="center"/>
      <protection hidden="1"/>
    </xf>
    <xf numFmtId="0" fontId="101" fillId="0" borderId="74" xfId="0" applyFont="1" applyBorder="1" applyAlignment="1" applyProtection="1">
      <alignment horizontal="center" vertical="center"/>
      <protection hidden="1"/>
    </xf>
    <xf numFmtId="0" fontId="101" fillId="0" borderId="0" xfId="0" applyFont="1" applyBorder="1" applyAlignment="1" applyProtection="1">
      <alignment horizontal="center" vertical="center"/>
      <protection hidden="1"/>
    </xf>
    <xf numFmtId="0" fontId="101" fillId="0" borderId="75" xfId="0" applyFont="1" applyBorder="1" applyAlignment="1" applyProtection="1">
      <alignment horizontal="center" vertical="center"/>
      <protection hidden="1"/>
    </xf>
    <xf numFmtId="0" fontId="2" fillId="0" borderId="74" xfId="0" applyFont="1" applyBorder="1" applyAlignment="1" applyProtection="1">
      <alignment horizontal="left" vertical="center"/>
      <protection hidden="1"/>
    </xf>
    <xf numFmtId="0" fontId="2" fillId="0" borderId="0" xfId="0" applyFont="1" applyBorder="1" applyAlignment="1" applyProtection="1">
      <alignment horizontal="left" vertical="center"/>
      <protection hidden="1"/>
    </xf>
    <xf numFmtId="0" fontId="2" fillId="0" borderId="75" xfId="0" applyFont="1" applyBorder="1" applyAlignment="1" applyProtection="1">
      <alignment horizontal="left" vertical="center"/>
      <protection hidden="1"/>
    </xf>
    <xf numFmtId="0" fontId="94" fillId="10" borderId="0" xfId="1" applyFont="1" applyFill="1" applyBorder="1" applyAlignment="1" applyProtection="1">
      <alignment horizontal="center"/>
      <protection hidden="1"/>
    </xf>
    <xf numFmtId="0" fontId="88" fillId="27" borderId="0" xfId="0" applyFont="1" applyFill="1" applyBorder="1" applyAlignment="1" applyProtection="1">
      <alignment horizontal="center"/>
      <protection hidden="1"/>
    </xf>
    <xf numFmtId="0" fontId="82" fillId="23" borderId="0" xfId="0" applyFont="1" applyFill="1" applyBorder="1" applyAlignment="1" applyProtection="1">
      <alignment horizontal="center"/>
      <protection hidden="1"/>
    </xf>
    <xf numFmtId="0" fontId="78" fillId="24" borderId="0" xfId="1" applyFont="1" applyFill="1" applyBorder="1" applyAlignment="1" applyProtection="1">
      <alignment horizontal="left" vertical="center" wrapText="1"/>
      <protection hidden="1"/>
    </xf>
    <xf numFmtId="0" fontId="78" fillId="24" borderId="0" xfId="0" applyFont="1" applyFill="1" applyBorder="1" applyAlignment="1" applyProtection="1">
      <alignment horizontal="left" vertical="center" wrapText="1"/>
      <protection hidden="1"/>
    </xf>
    <xf numFmtId="0" fontId="75" fillId="22" borderId="0" xfId="0" applyFont="1" applyFill="1" applyBorder="1" applyAlignment="1" applyProtection="1">
      <alignment horizontal="center" vertical="center" wrapText="1"/>
      <protection hidden="1"/>
    </xf>
    <xf numFmtId="0" fontId="74" fillId="23" borderId="0" xfId="0" applyFont="1" applyFill="1" applyBorder="1" applyAlignment="1">
      <alignment horizontal="center"/>
    </xf>
    <xf numFmtId="0" fontId="76" fillId="22" borderId="0" xfId="1" applyFont="1" applyFill="1" applyBorder="1" applyAlignment="1" applyProtection="1">
      <alignment horizontal="center" vertical="center"/>
      <protection hidden="1"/>
    </xf>
    <xf numFmtId="0" fontId="77" fillId="22" borderId="0" xfId="0" applyFont="1" applyFill="1" applyBorder="1" applyAlignment="1" applyProtection="1">
      <alignment horizontal="center" vertical="center"/>
      <protection hidden="1"/>
    </xf>
  </cellXfs>
  <cellStyles count="2">
    <cellStyle name="Hiperlink" xfId="1" builtinId="8"/>
    <cellStyle name="Normal" xfId="0" builtinId="0"/>
  </cellStyles>
  <dxfs count="33"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gradientFill degree="180">
          <stop position="0">
            <color theme="0"/>
          </stop>
          <stop position="1">
            <color rgb="FFFFFF6D"/>
          </stop>
        </gradientFill>
      </fill>
    </dxf>
    <dxf>
      <fill>
        <patternFill patternType="solid"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 patternType="solid"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 patternType="solid"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 patternType="solid"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 patternType="solid"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 patternType="solid"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 patternType="solid"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 patternType="solid"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 patternType="solid"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 patternType="solid"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 patternType="solid"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>
          <bgColor rgb="FFFFC000"/>
        </patternFill>
      </fill>
    </dxf>
    <dxf>
      <font>
        <b val="0"/>
        <condense val="0"/>
        <extend val="0"/>
        <color indexed="10"/>
      </font>
      <border>
        <left style="hair">
          <color indexed="52"/>
        </left>
        <right style="hair">
          <color indexed="52"/>
        </right>
        <top style="hair">
          <color indexed="52"/>
        </top>
        <bottom style="hair">
          <color indexed="52"/>
        </bottom>
      </border>
    </dxf>
    <dxf>
      <font>
        <b val="0"/>
        <condense val="0"/>
        <extend val="0"/>
        <color indexed="8"/>
      </font>
      <border>
        <left style="hair">
          <color indexed="52"/>
        </left>
        <right style="hair">
          <color indexed="52"/>
        </right>
        <top style="hair">
          <color indexed="52"/>
        </top>
        <bottom style="hair">
          <color indexed="52"/>
        </bottom>
      </border>
    </dxf>
    <dxf>
      <fill>
        <patternFill patternType="solid">
          <fgColor indexed="9"/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ill>
        <patternFill patternType="solid">
          <fgColor indexed="9"/>
          <bgColor indexed="26"/>
        </patternFill>
      </fill>
      <border>
        <left style="thin">
          <color indexed="51"/>
        </left>
        <right style="thin">
          <color indexed="51"/>
        </right>
        <top style="thin">
          <color indexed="51"/>
        </top>
        <bottom style="thin">
          <color indexed="51"/>
        </bottom>
      </border>
    </dxf>
    <dxf>
      <font>
        <b val="0"/>
        <i val="0"/>
        <condense val="0"/>
        <extend val="0"/>
        <color indexed="48"/>
      </font>
      <fill>
        <patternFill patternType="solid">
          <fgColor indexed="31"/>
          <bgColor indexed="22"/>
        </patternFill>
      </fill>
    </dxf>
  </dxfs>
  <tableStyles count="0" defaultTableStyle="TableStyleMedium9" defaultPivotStyle="PivotStyleLight16"/>
  <colors>
    <mruColors>
      <color rgb="FFFFFF6D"/>
      <color rgb="FFFFFFBD"/>
      <color rgb="FF0033CC"/>
      <color rgb="FF0066FF"/>
      <color rgb="FF339966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hyperlink" Target="http://www.facebook.com/sharer/sharer.php?u=http://www.guiadecompra.com/copa-do-mundo/index.php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638175</xdr:colOff>
      <xdr:row>1</xdr:row>
      <xdr:rowOff>47626</xdr:rowOff>
    </xdr:from>
    <xdr:to>
      <xdr:col>12</xdr:col>
      <xdr:colOff>190500</xdr:colOff>
      <xdr:row>2</xdr:row>
      <xdr:rowOff>295276</xdr:rowOff>
    </xdr:to>
    <xdr:pic>
      <xdr:nvPicPr>
        <xdr:cNvPr id="2" name="Imagem 1" descr="imag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43350" y="47626"/>
          <a:ext cx="733425" cy="590550"/>
        </a:xfrm>
        <a:prstGeom prst="rect">
          <a:avLst/>
        </a:prstGeom>
      </xdr:spPr>
    </xdr:pic>
    <xdr:clientData/>
  </xdr:twoCellAnchor>
  <xdr:twoCellAnchor editAs="oneCell">
    <xdr:from>
      <xdr:col>17</xdr:col>
      <xdr:colOff>104775</xdr:colOff>
      <xdr:row>92</xdr:row>
      <xdr:rowOff>114300</xdr:rowOff>
    </xdr:from>
    <xdr:to>
      <xdr:col>19</xdr:col>
      <xdr:colOff>38100</xdr:colOff>
      <xdr:row>94</xdr:row>
      <xdr:rowOff>57150</xdr:rowOff>
    </xdr:to>
    <xdr:pic>
      <xdr:nvPicPr>
        <xdr:cNvPr id="3" name="Imagem 2" descr="compartilhar-face.jpg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467600" y="18669000"/>
          <a:ext cx="390525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guiadecompra.shopping.uol.com.br/perfume.html" TargetMode="External"/><Relationship Id="rId13" Type="http://schemas.openxmlformats.org/officeDocument/2006/relationships/hyperlink" Target="http://www.setordecompras.com.br/" TargetMode="External"/><Relationship Id="rId18" Type="http://schemas.openxmlformats.org/officeDocument/2006/relationships/hyperlink" Target="http://www.guiadecompra.com/" TargetMode="External"/><Relationship Id="rId3" Type="http://schemas.openxmlformats.org/officeDocument/2006/relationships/hyperlink" Target="http://www.guiadecompra.com/shopping/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guiadecompra.shopping.uol.com.br/camera-digital.html" TargetMode="External"/><Relationship Id="rId12" Type="http://schemas.openxmlformats.org/officeDocument/2006/relationships/hyperlink" Target="http://guiadecompra.shopping.uol.com.br/computador.html" TargetMode="External"/><Relationship Id="rId17" Type="http://schemas.openxmlformats.org/officeDocument/2006/relationships/hyperlink" Target="http://www.guiadecompra.com/" TargetMode="External"/><Relationship Id="rId2" Type="http://schemas.openxmlformats.org/officeDocument/2006/relationships/hyperlink" Target="http://www.guiadecompra.com/" TargetMode="External"/><Relationship Id="rId16" Type="http://schemas.openxmlformats.org/officeDocument/2006/relationships/hyperlink" Target="http://www.facebook.com/sharer/sharer.php?u=http://www.guiadecompra.com/excel/planilhas-de-excel.php/23.UX6n04WCvrw.facebook" TargetMode="External"/><Relationship Id="rId20" Type="http://schemas.openxmlformats.org/officeDocument/2006/relationships/hyperlink" Target="http://www.guiadecompra.com/copa-do-mundo/index.php" TargetMode="External"/><Relationship Id="rId1" Type="http://schemas.openxmlformats.org/officeDocument/2006/relationships/hyperlink" Target="http://www.guiadecompra.com/excel/" TargetMode="External"/><Relationship Id="rId6" Type="http://schemas.openxmlformats.org/officeDocument/2006/relationships/hyperlink" Target="http://guiadecompra.shopping.uol.com.br/filmadora.html" TargetMode="External"/><Relationship Id="rId11" Type="http://schemas.openxmlformats.org/officeDocument/2006/relationships/hyperlink" Target="http://guiadecompra.shopping.uol.com.br/monitor.html" TargetMode="External"/><Relationship Id="rId24" Type="http://schemas.openxmlformats.org/officeDocument/2006/relationships/comments" Target="../comments1.xml"/><Relationship Id="rId5" Type="http://schemas.openxmlformats.org/officeDocument/2006/relationships/hyperlink" Target="http://guiadecompra.shopping.uol.com.br/celular-e-smartphone.html" TargetMode="External"/><Relationship Id="rId15" Type="http://schemas.openxmlformats.org/officeDocument/2006/relationships/hyperlink" Target="http://www.perguntinhas.com.br/" TargetMode="External"/><Relationship Id="rId23" Type="http://schemas.openxmlformats.org/officeDocument/2006/relationships/vmlDrawing" Target="../drawings/vmlDrawing1.vml"/><Relationship Id="rId10" Type="http://schemas.openxmlformats.org/officeDocument/2006/relationships/hyperlink" Target="http://guiadecompra.shopping.uol.com.br/tv.html" TargetMode="External"/><Relationship Id="rId19" Type="http://schemas.openxmlformats.org/officeDocument/2006/relationships/hyperlink" Target="http://www.guiadecompra.com/" TargetMode="External"/><Relationship Id="rId4" Type="http://schemas.openxmlformats.org/officeDocument/2006/relationships/hyperlink" Target="http://guiadecompra.shopping.uol.com.br/notebook.html" TargetMode="External"/><Relationship Id="rId9" Type="http://schemas.openxmlformats.org/officeDocument/2006/relationships/hyperlink" Target="http://guiadecompra.shopping.uol.com.br/tenis.html" TargetMode="External"/><Relationship Id="rId14" Type="http://schemas.openxmlformats.org/officeDocument/2006/relationships/hyperlink" Target="http://www.perguntinhas.com.br/" TargetMode="External"/><Relationship Id="rId2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guiadecompra.com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guiadcompra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hyperlink" Target="mailto:guiadecompra@guiadecompra.com" TargetMode="External"/><Relationship Id="rId1" Type="http://schemas.openxmlformats.org/officeDocument/2006/relationships/hyperlink" Target="http://www.guiadcompra.com/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uiadecompra.com/" TargetMode="External"/><Relationship Id="rId3" Type="http://schemas.openxmlformats.org/officeDocument/2006/relationships/hyperlink" Target="http://www.facebook.com/sharer/sharer.php?u=http://www.guiadecompra.com/excel/planilhas-de-excel.php/23.UX6n04WCvrw.facebook" TargetMode="External"/><Relationship Id="rId7" Type="http://schemas.openxmlformats.org/officeDocument/2006/relationships/hyperlink" Target="http://www.guiadecompra.com/excel/planilha-controle-de-produtos.php" TargetMode="External"/><Relationship Id="rId12" Type="http://schemas.openxmlformats.org/officeDocument/2006/relationships/hyperlink" Target="http://www.guiadecompra.com/excel/planilhas-de-excel-p1.php" TargetMode="External"/><Relationship Id="rId2" Type="http://schemas.openxmlformats.org/officeDocument/2006/relationships/hyperlink" Target="http://www.guiadecompra.com/excel/planilhas-de-excel.php" TargetMode="External"/><Relationship Id="rId1" Type="http://schemas.openxmlformats.org/officeDocument/2006/relationships/hyperlink" Target="http://www.guiadecompra.com/excel/index.php" TargetMode="External"/><Relationship Id="rId6" Type="http://schemas.openxmlformats.org/officeDocument/2006/relationships/hyperlink" Target="http://www.guiadecompra.com/excel/planilha-fluxo-de-caixa.php" TargetMode="External"/><Relationship Id="rId11" Type="http://schemas.openxmlformats.org/officeDocument/2006/relationships/hyperlink" Target="http://www.guiadecompra.com/excel/planilha-orcamento-familiar.php" TargetMode="External"/><Relationship Id="rId5" Type="http://schemas.openxmlformats.org/officeDocument/2006/relationships/hyperlink" Target="http://www.guiadecompra.com/excel/planilha-cotacao.php" TargetMode="External"/><Relationship Id="rId10" Type="http://schemas.openxmlformats.org/officeDocument/2006/relationships/hyperlink" Target="http://www.guiadecompra.com/copa-do-mundo/" TargetMode="External"/><Relationship Id="rId4" Type="http://schemas.openxmlformats.org/officeDocument/2006/relationships/hyperlink" Target="http://www.guiadecompra.com/excel/controle-de-estoque.php" TargetMode="External"/><Relationship Id="rId9" Type="http://schemas.openxmlformats.org/officeDocument/2006/relationships/hyperlink" Target="http://www.guiadecompra.com/excel/planilha-cadastro-cliente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tabColor rgb="FF00B050"/>
  </sheetPr>
  <dimension ref="B1:AC102"/>
  <sheetViews>
    <sheetView showGridLines="0" tabSelected="1" showOutlineSymbols="0" workbookViewId="0">
      <selection activeCell="B1" sqref="B1"/>
    </sheetView>
  </sheetViews>
  <sheetFormatPr defaultRowHeight="12.75" x14ac:dyDescent="0.2"/>
  <cols>
    <col min="1" max="1" width="2.28515625" style="2" customWidth="1"/>
    <col min="2" max="2" width="1.7109375" style="2" customWidth="1"/>
    <col min="3" max="3" width="1.5703125" style="2" customWidth="1"/>
    <col min="4" max="4" width="11.42578125" style="2" customWidth="1"/>
    <col min="5" max="5" width="6" style="2" customWidth="1"/>
    <col min="6" max="6" width="17.7109375" style="1" customWidth="1"/>
    <col min="7" max="11" width="3.28515625" style="2" customWidth="1"/>
    <col min="12" max="12" width="17.7109375" style="1" customWidth="1"/>
    <col min="13" max="13" width="14.140625" style="3" customWidth="1"/>
    <col min="14" max="14" width="3.7109375" style="3" bestFit="1" customWidth="1"/>
    <col min="15" max="15" width="17.7109375" style="2" customWidth="1"/>
    <col min="16" max="23" width="3.42578125" style="2" customWidth="1"/>
    <col min="24" max="24" width="2.140625" style="2" customWidth="1"/>
    <col min="25" max="26" width="0" style="2" hidden="1" customWidth="1"/>
    <col min="27" max="27" width="1.7109375" style="2" customWidth="1"/>
    <col min="28" max="28" width="2.140625" style="2" customWidth="1"/>
    <col min="29" max="29" width="14.28515625" style="2" customWidth="1"/>
    <col min="30" max="16384" width="9.140625" style="2"/>
  </cols>
  <sheetData>
    <row r="1" spans="2:29" ht="8.25" customHeight="1" thickBot="1" x14ac:dyDescent="0.25">
      <c r="B1" s="304"/>
      <c r="C1" s="101"/>
      <c r="D1" s="101"/>
      <c r="E1" s="101"/>
      <c r="F1" s="102"/>
      <c r="G1" s="101"/>
      <c r="H1" s="101"/>
      <c r="I1" s="101"/>
      <c r="J1" s="101"/>
      <c r="K1" s="101"/>
      <c r="L1" s="102"/>
      <c r="M1" s="103"/>
      <c r="N1" s="103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</row>
    <row r="2" spans="2:29" ht="27" customHeight="1" thickTop="1" x14ac:dyDescent="0.2">
      <c r="B2" s="101"/>
      <c r="C2" s="126"/>
      <c r="D2" s="328" t="s">
        <v>121</v>
      </c>
      <c r="E2" s="328"/>
      <c r="F2" s="328"/>
      <c r="G2" s="328"/>
      <c r="H2" s="328"/>
      <c r="I2" s="328"/>
      <c r="J2" s="328"/>
      <c r="K2" s="328"/>
      <c r="L2" s="104"/>
      <c r="M2" s="105"/>
      <c r="N2" s="105"/>
      <c r="O2" s="329" t="s">
        <v>0</v>
      </c>
      <c r="P2" s="329"/>
      <c r="Q2" s="329"/>
      <c r="R2" s="329"/>
      <c r="S2" s="329"/>
      <c r="T2" s="329"/>
      <c r="U2" s="329"/>
      <c r="V2" s="329"/>
      <c r="W2" s="329"/>
      <c r="X2" s="106"/>
      <c r="AA2" s="101"/>
      <c r="AC2" s="4"/>
    </row>
    <row r="3" spans="2:29" ht="24.75" customHeight="1" thickBot="1" x14ac:dyDescent="0.25">
      <c r="B3" s="101"/>
      <c r="C3" s="128"/>
      <c r="D3" s="330" t="s">
        <v>115</v>
      </c>
      <c r="E3" s="330"/>
      <c r="F3" s="112"/>
      <c r="G3" s="112"/>
      <c r="H3" s="112"/>
      <c r="I3" s="112"/>
      <c r="J3" s="112"/>
      <c r="K3" s="112"/>
      <c r="L3" s="113"/>
      <c r="M3" s="114"/>
      <c r="N3" s="115"/>
      <c r="O3" s="331" t="s">
        <v>176</v>
      </c>
      <c r="P3" s="331"/>
      <c r="Q3" s="331"/>
      <c r="R3" s="331"/>
      <c r="S3" s="331"/>
      <c r="T3" s="331"/>
      <c r="U3" s="331"/>
      <c r="V3" s="331"/>
      <c r="W3" s="331"/>
      <c r="X3" s="116"/>
      <c r="AA3" s="101"/>
    </row>
    <row r="4" spans="2:29" ht="15" customHeight="1" thickTop="1" x14ac:dyDescent="0.2">
      <c r="B4" s="101"/>
      <c r="C4" s="107"/>
      <c r="D4" s="211"/>
      <c r="E4" s="211"/>
      <c r="F4" s="265"/>
      <c r="G4" s="211"/>
      <c r="H4" s="211"/>
      <c r="I4" s="211"/>
      <c r="J4" s="211"/>
      <c r="K4" s="211"/>
      <c r="L4" s="265"/>
      <c r="M4" s="265"/>
      <c r="N4" s="212"/>
      <c r="O4" s="213"/>
      <c r="P4" s="213"/>
      <c r="Q4" s="213"/>
      <c r="R4" s="213"/>
      <c r="S4" s="213"/>
      <c r="T4" s="213"/>
      <c r="U4" s="213"/>
      <c r="V4" s="213"/>
      <c r="W4" s="213"/>
      <c r="X4" s="108"/>
      <c r="Y4" s="93" t="s">
        <v>1</v>
      </c>
      <c r="AA4" s="101"/>
    </row>
    <row r="5" spans="2:29" ht="15.95" customHeight="1" x14ac:dyDescent="0.2">
      <c r="B5" s="101"/>
      <c r="C5" s="107"/>
      <c r="D5" s="323" t="s">
        <v>2</v>
      </c>
      <c r="E5" s="323"/>
      <c r="F5" s="323"/>
      <c r="G5" s="61"/>
      <c r="H5" s="325"/>
      <c r="I5" s="325"/>
      <c r="J5" s="325"/>
      <c r="K5" s="61"/>
      <c r="L5" s="62"/>
      <c r="M5" s="61"/>
      <c r="N5" s="63"/>
      <c r="O5" s="62"/>
      <c r="P5" s="64"/>
      <c r="Q5" s="64"/>
      <c r="R5" s="64"/>
      <c r="S5" s="64"/>
      <c r="T5" s="61"/>
      <c r="U5" s="65"/>
      <c r="V5" s="65"/>
      <c r="W5" s="65"/>
      <c r="X5" s="108"/>
      <c r="Y5" s="94"/>
      <c r="AA5" s="101"/>
    </row>
    <row r="6" spans="2:29" ht="15.95" customHeight="1" x14ac:dyDescent="0.2">
      <c r="B6" s="101"/>
      <c r="C6" s="107"/>
      <c r="D6" s="182">
        <v>41802</v>
      </c>
      <c r="E6" s="57">
        <v>0.70833333333333337</v>
      </c>
      <c r="F6" s="151" t="str">
        <f>info!C3</f>
        <v>Brasil</v>
      </c>
      <c r="G6" s="118"/>
      <c r="H6" s="58"/>
      <c r="I6" s="59" t="s">
        <v>3</v>
      </c>
      <c r="J6" s="58"/>
      <c r="K6" s="117"/>
      <c r="L6" s="241" t="str">
        <f>info!$C$4</f>
        <v>Croácia</v>
      </c>
      <c r="M6" s="185" t="s">
        <v>93</v>
      </c>
      <c r="N6" s="60"/>
      <c r="O6" s="332" t="s">
        <v>4</v>
      </c>
      <c r="P6" s="332"/>
      <c r="Q6" s="332"/>
      <c r="R6" s="332"/>
      <c r="S6" s="332"/>
      <c r="T6" s="332"/>
      <c r="U6" s="332"/>
      <c r="V6" s="332"/>
      <c r="W6" s="333"/>
      <c r="X6" s="108"/>
      <c r="Y6" s="95" t="s">
        <v>5</v>
      </c>
      <c r="AA6" s="101"/>
    </row>
    <row r="7" spans="2:29" ht="15.95" customHeight="1" x14ac:dyDescent="0.2">
      <c r="B7" s="101"/>
      <c r="C7" s="107"/>
      <c r="D7" s="182">
        <v>41803</v>
      </c>
      <c r="E7" s="57">
        <v>0.54166666666666663</v>
      </c>
      <c r="F7" s="151" t="str">
        <f>info!$C$5</f>
        <v>México</v>
      </c>
      <c r="G7" s="118"/>
      <c r="H7" s="58"/>
      <c r="I7" s="59" t="s">
        <v>3</v>
      </c>
      <c r="J7" s="58"/>
      <c r="K7" s="117"/>
      <c r="L7" s="241" t="str">
        <f>info!$C$6</f>
        <v>Camarões</v>
      </c>
      <c r="M7" s="185" t="s">
        <v>94</v>
      </c>
      <c r="N7" s="278"/>
      <c r="O7" s="17"/>
      <c r="P7" s="214" t="s">
        <v>6</v>
      </c>
      <c r="Q7" s="214" t="s">
        <v>7</v>
      </c>
      <c r="R7" s="214" t="s">
        <v>8</v>
      </c>
      <c r="S7" s="214" t="s">
        <v>9</v>
      </c>
      <c r="T7" s="214" t="s">
        <v>10</v>
      </c>
      <c r="U7" s="214" t="s">
        <v>11</v>
      </c>
      <c r="V7" s="214" t="s">
        <v>12</v>
      </c>
      <c r="W7" s="215" t="s">
        <v>13</v>
      </c>
      <c r="X7" s="108"/>
      <c r="Y7" s="94"/>
      <c r="AA7" s="101"/>
    </row>
    <row r="8" spans="2:29" ht="15.95" customHeight="1" x14ac:dyDescent="0.2">
      <c r="B8" s="101"/>
      <c r="C8" s="107"/>
      <c r="D8" s="182">
        <v>41807</v>
      </c>
      <c r="E8" s="57">
        <v>0.66666666666666663</v>
      </c>
      <c r="F8" s="151" t="str">
        <f>info!$C$3</f>
        <v>Brasil</v>
      </c>
      <c r="G8" s="118"/>
      <c r="H8" s="58"/>
      <c r="I8" s="59" t="s">
        <v>3</v>
      </c>
      <c r="J8" s="58"/>
      <c r="K8" s="117"/>
      <c r="L8" s="241" t="str">
        <f>info!$C$5</f>
        <v>México</v>
      </c>
      <c r="M8" s="185" t="s">
        <v>95</v>
      </c>
      <c r="N8" s="274" t="str">
        <f>IF(Q8&gt;0,1,"")</f>
        <v/>
      </c>
      <c r="O8" s="295" t="str">
        <f>IF(O2="www.guiadecompra.com",Jogo!AN5,"erro")</f>
        <v>Brasil</v>
      </c>
      <c r="P8" s="18">
        <f>IF(B5I=Tabela!O2,VLOOKUP(O8,Jogo!$A$5:$I$8,2,FALSE),0)</f>
        <v>0</v>
      </c>
      <c r="Q8" s="19">
        <f>IF(D5I=Tabela!O3,VLOOKUP(O8,Jogo!$A$5:$I$8,3,FALSE),0)</f>
        <v>0</v>
      </c>
      <c r="R8" s="19">
        <f>VLOOKUP(O8,Jogo!$A$5:$I$8,4,FALSE)</f>
        <v>0</v>
      </c>
      <c r="S8" s="19">
        <f>VLOOKUP(O8,Jogo!$A$5:$I$8,5,FALSE)</f>
        <v>0</v>
      </c>
      <c r="T8" s="19">
        <f>VLOOKUP(O8,Jogo!$A$5:$I$8,6,FALSE)</f>
        <v>0</v>
      </c>
      <c r="U8" s="19">
        <f>VLOOKUP(O8,Jogo!$A$5:$I$8,7,FALSE)</f>
        <v>0</v>
      </c>
      <c r="V8" s="19">
        <f>VLOOKUP(O8,Jogo!$A$5:$I$8,8,FALSE)</f>
        <v>0</v>
      </c>
      <c r="W8" s="90">
        <f>VLOOKUP(O8,Jogo!$A$5:$I$8,9,FALSE)</f>
        <v>0</v>
      </c>
      <c r="X8" s="108"/>
      <c r="Y8" s="95" t="s">
        <v>14</v>
      </c>
      <c r="AA8" s="101"/>
    </row>
    <row r="9" spans="2:29" ht="15.95" customHeight="1" x14ac:dyDescent="0.2">
      <c r="B9" s="101"/>
      <c r="C9" s="107"/>
      <c r="D9" s="182">
        <v>41808</v>
      </c>
      <c r="E9" s="57">
        <v>0.66666666666666663</v>
      </c>
      <c r="F9" s="151" t="str">
        <f>info!$C$4</f>
        <v>Croácia</v>
      </c>
      <c r="G9" s="118"/>
      <c r="H9" s="58"/>
      <c r="I9" s="59" t="s">
        <v>3</v>
      </c>
      <c r="J9" s="58"/>
      <c r="K9" s="117"/>
      <c r="L9" s="241" t="str">
        <f>info!$C$6</f>
        <v>Camarões</v>
      </c>
      <c r="M9" s="185" t="s">
        <v>96</v>
      </c>
      <c r="N9" s="274" t="str">
        <f>IF(Q9&gt;0,2,"")</f>
        <v/>
      </c>
      <c r="O9" s="295" t="str">
        <f>IF(O2="www.guiadecompra.com",Jogo!AN6,"erro")</f>
        <v>Croácia</v>
      </c>
      <c r="P9" s="18">
        <f>IF(B5I=Tabela!O2,VLOOKUP(O9,Jogo!$A$5:$I$8,2,FALSE),0)</f>
        <v>0</v>
      </c>
      <c r="Q9" s="19">
        <f>IF(D5I=Tabela!O3,VLOOKUP(O9,Jogo!$A$5:$I$8,3,FALSE),0)</f>
        <v>0</v>
      </c>
      <c r="R9" s="19">
        <f>VLOOKUP(O9,Jogo!$A$5:$I$8,4,FALSE)</f>
        <v>0</v>
      </c>
      <c r="S9" s="19">
        <f>VLOOKUP(O9,Jogo!$A$5:$I$8,5,FALSE)</f>
        <v>0</v>
      </c>
      <c r="T9" s="19">
        <f>VLOOKUP(O9,Jogo!$A$5:$I$8,6,FALSE)</f>
        <v>0</v>
      </c>
      <c r="U9" s="19">
        <f>VLOOKUP(O9,Jogo!$A$5:$I$8,7,FALSE)</f>
        <v>0</v>
      </c>
      <c r="V9" s="19">
        <f>VLOOKUP(O9,Jogo!$A$5:$I$8,8,FALSE)</f>
        <v>0</v>
      </c>
      <c r="W9" s="90">
        <f>VLOOKUP(O9,Jogo!$A$5:$I$8,9,FALSE)</f>
        <v>0</v>
      </c>
      <c r="X9" s="108"/>
      <c r="Y9" s="94"/>
      <c r="AA9" s="101"/>
    </row>
    <row r="10" spans="2:29" ht="15.95" customHeight="1" x14ac:dyDescent="0.2">
      <c r="B10" s="101"/>
      <c r="C10" s="107"/>
      <c r="D10" s="182">
        <v>41813</v>
      </c>
      <c r="E10" s="57">
        <v>0.70833333333333337</v>
      </c>
      <c r="F10" s="151" t="str">
        <f>info!$C$3</f>
        <v>Brasil</v>
      </c>
      <c r="G10" s="118"/>
      <c r="H10" s="58"/>
      <c r="I10" s="59" t="s">
        <v>3</v>
      </c>
      <c r="J10" s="58"/>
      <c r="K10" s="117"/>
      <c r="L10" s="241" t="str">
        <f>info!$C$6</f>
        <v>Camarões</v>
      </c>
      <c r="M10" s="185" t="s">
        <v>97</v>
      </c>
      <c r="N10" s="274" t="str">
        <f>IF(Q10&gt;0,3,"")</f>
        <v/>
      </c>
      <c r="O10" s="2" t="str">
        <f>IF(O2="www.guiadecompra.com",Jogo!AN7,"erro")</f>
        <v>México</v>
      </c>
      <c r="P10" s="18">
        <f>IF(B5I=Tabela!O2,VLOOKUP(O10,Jogo!$A$5:$I$8,2,FALSE),0)</f>
        <v>0</v>
      </c>
      <c r="Q10" s="19">
        <f>IF(D5I=Tabela!O3,VLOOKUP(O10,Jogo!$A$5:$I$8,3,FALSE),0)</f>
        <v>0</v>
      </c>
      <c r="R10" s="19">
        <f>VLOOKUP(O10,Jogo!$A$5:$I$8,4,FALSE)</f>
        <v>0</v>
      </c>
      <c r="S10" s="19">
        <f>VLOOKUP(O10,Jogo!$A$5:$I$8,5,FALSE)</f>
        <v>0</v>
      </c>
      <c r="T10" s="19">
        <f>VLOOKUP(O10,Jogo!$A$5:$I$8,6,FALSE)</f>
        <v>0</v>
      </c>
      <c r="U10" s="19">
        <f>VLOOKUP(O10,Jogo!$A$5:$I$8,7,FALSE)</f>
        <v>0</v>
      </c>
      <c r="V10" s="19">
        <f>VLOOKUP(O10,Jogo!$A$5:$I$8,8,FALSE)</f>
        <v>0</v>
      </c>
      <c r="W10" s="90">
        <f>VLOOKUP(O10,Jogo!$A$5:$I$8,9,FALSE)</f>
        <v>0</v>
      </c>
      <c r="X10" s="108"/>
      <c r="Y10" s="96" t="s">
        <v>15</v>
      </c>
      <c r="AA10" s="101"/>
    </row>
    <row r="11" spans="2:29" ht="15.95" customHeight="1" x14ac:dyDescent="0.2">
      <c r="B11" s="101"/>
      <c r="C11" s="107"/>
      <c r="D11" s="182">
        <v>41813</v>
      </c>
      <c r="E11" s="57">
        <v>0.70833333333333337</v>
      </c>
      <c r="F11" s="151" t="str">
        <f>info!$C$4</f>
        <v>Croácia</v>
      </c>
      <c r="G11" s="118"/>
      <c r="H11" s="58"/>
      <c r="I11" s="59" t="s">
        <v>3</v>
      </c>
      <c r="J11" s="58"/>
      <c r="K11" s="117"/>
      <c r="L11" s="241" t="str">
        <f>info!$C$5</f>
        <v>México</v>
      </c>
      <c r="M11" s="185" t="s">
        <v>98</v>
      </c>
      <c r="N11" s="275" t="str">
        <f>IF(Q11&gt;0,4,"")</f>
        <v/>
      </c>
      <c r="O11" s="240" t="str">
        <f>IF(O2="www.guiadecompra.com",Jogo!AN8,"erro")</f>
        <v>Camarões</v>
      </c>
      <c r="P11" s="216">
        <f>IF(B5I=Tabela!O2,VLOOKUP(O11,Jogo!$A$5:$I$8,2,FALSE),0)</f>
        <v>0</v>
      </c>
      <c r="Q11" s="91">
        <f>IF(D5I=Tabela!O3,VLOOKUP(O11,Jogo!$A$5:$I$8,3,FALSE),0)</f>
        <v>0</v>
      </c>
      <c r="R11" s="91">
        <f>VLOOKUP(O11,Jogo!$A$5:$I$8,4,FALSE)</f>
        <v>0</v>
      </c>
      <c r="S11" s="91">
        <f>VLOOKUP(O11,Jogo!$A$5:$I$8,5,FALSE)</f>
        <v>0</v>
      </c>
      <c r="T11" s="91">
        <f>VLOOKUP(O11,Jogo!$A$5:$I$8,6,FALSE)</f>
        <v>0</v>
      </c>
      <c r="U11" s="91">
        <f>VLOOKUP(O11,Jogo!$A$5:$I$8,7,FALSE)</f>
        <v>0</v>
      </c>
      <c r="V11" s="91">
        <f>VLOOKUP(O11,Jogo!$A$5:$I$8,8,FALSE)</f>
        <v>0</v>
      </c>
      <c r="W11" s="92">
        <f>VLOOKUP(O11,Jogo!$A$5:$I$8,9,FALSE)</f>
        <v>0</v>
      </c>
      <c r="X11" s="108"/>
      <c r="Y11" s="97" t="s">
        <v>16</v>
      </c>
      <c r="AA11" s="101"/>
    </row>
    <row r="12" spans="2:29" ht="15.95" customHeight="1" x14ac:dyDescent="0.2">
      <c r="B12" s="101"/>
      <c r="C12" s="107"/>
      <c r="D12" s="20"/>
      <c r="E12" s="21"/>
      <c r="F12" s="22"/>
      <c r="G12" s="23"/>
      <c r="H12" s="24"/>
      <c r="I12" s="24"/>
      <c r="J12" s="24"/>
      <c r="K12" s="24"/>
      <c r="L12" s="2"/>
      <c r="M12" s="25"/>
      <c r="N12" s="279"/>
      <c r="P12" s="22"/>
      <c r="Q12" s="22"/>
      <c r="R12" s="22"/>
      <c r="S12" s="22"/>
      <c r="T12" s="22"/>
      <c r="U12" s="22"/>
      <c r="V12" s="22"/>
      <c r="W12" s="22"/>
      <c r="X12" s="108"/>
      <c r="Y12" s="94"/>
      <c r="AA12" s="101"/>
    </row>
    <row r="13" spans="2:29" ht="15.95" customHeight="1" x14ac:dyDescent="0.2">
      <c r="B13" s="101"/>
      <c r="C13" s="107"/>
      <c r="D13" s="317" t="s">
        <v>17</v>
      </c>
      <c r="E13" s="317"/>
      <c r="F13" s="317"/>
      <c r="G13" s="121"/>
      <c r="H13" s="318"/>
      <c r="I13" s="318"/>
      <c r="J13" s="318"/>
      <c r="K13" s="121"/>
      <c r="L13" s="122"/>
      <c r="M13" s="123"/>
      <c r="N13" s="280"/>
      <c r="O13" s="122"/>
      <c r="P13" s="121"/>
      <c r="Q13" s="121"/>
      <c r="R13" s="121"/>
      <c r="S13" s="121"/>
      <c r="T13" s="124"/>
      <c r="U13" s="125"/>
      <c r="V13" s="125"/>
      <c r="W13" s="125"/>
      <c r="X13" s="108"/>
      <c r="Y13" s="98" t="s">
        <v>18</v>
      </c>
      <c r="AA13" s="101"/>
    </row>
    <row r="14" spans="2:29" ht="15.95" customHeight="1" x14ac:dyDescent="0.2">
      <c r="B14" s="101"/>
      <c r="C14" s="107"/>
      <c r="D14" s="144" t="s">
        <v>104</v>
      </c>
      <c r="E14" s="120">
        <v>0.66666666666666663</v>
      </c>
      <c r="F14" s="152" t="str">
        <f>info!$F$3</f>
        <v>Espanha</v>
      </c>
      <c r="G14" s="242"/>
      <c r="H14" s="238"/>
      <c r="I14" s="239" t="s">
        <v>3</v>
      </c>
      <c r="J14" s="238"/>
      <c r="K14" s="244"/>
      <c r="L14" s="154" t="str">
        <f>info!$F$4</f>
        <v>Holanda</v>
      </c>
      <c r="M14" s="186" t="s">
        <v>99</v>
      </c>
      <c r="N14" s="281"/>
      <c r="O14" s="340" t="s">
        <v>19</v>
      </c>
      <c r="P14" s="340"/>
      <c r="Q14" s="340"/>
      <c r="R14" s="340"/>
      <c r="S14" s="340"/>
      <c r="T14" s="340"/>
      <c r="U14" s="340"/>
      <c r="V14" s="340"/>
      <c r="W14" s="341"/>
      <c r="X14" s="108"/>
      <c r="Y14" s="98" t="s">
        <v>20</v>
      </c>
      <c r="AA14" s="101"/>
    </row>
    <row r="15" spans="2:29" ht="15.95" customHeight="1" x14ac:dyDescent="0.2">
      <c r="B15" s="101"/>
      <c r="C15" s="107"/>
      <c r="D15" s="145">
        <v>41803</v>
      </c>
      <c r="E15" s="72">
        <v>0.79166666666666663</v>
      </c>
      <c r="F15" s="153" t="str">
        <f>info!$F$5</f>
        <v>Chile</v>
      </c>
      <c r="G15" s="243"/>
      <c r="H15" s="73"/>
      <c r="I15" s="74" t="s">
        <v>3</v>
      </c>
      <c r="J15" s="73"/>
      <c r="K15" s="245"/>
      <c r="L15" s="155" t="str">
        <f>info!$F$6</f>
        <v>Austrália</v>
      </c>
      <c r="M15" s="187" t="s">
        <v>100</v>
      </c>
      <c r="N15" s="272"/>
      <c r="O15" s="17"/>
      <c r="P15" s="119" t="s">
        <v>6</v>
      </c>
      <c r="Q15" s="119" t="s">
        <v>7</v>
      </c>
      <c r="R15" s="119" t="s">
        <v>8</v>
      </c>
      <c r="S15" s="119" t="s">
        <v>9</v>
      </c>
      <c r="T15" s="119" t="s">
        <v>10</v>
      </c>
      <c r="U15" s="119" t="s">
        <v>11</v>
      </c>
      <c r="V15" s="119" t="s">
        <v>12</v>
      </c>
      <c r="W15" s="146" t="s">
        <v>13</v>
      </c>
      <c r="X15" s="108"/>
      <c r="Y15" s="98" t="s">
        <v>21</v>
      </c>
      <c r="AA15" s="101"/>
    </row>
    <row r="16" spans="2:29" ht="15.95" customHeight="1" x14ac:dyDescent="0.2">
      <c r="B16" s="101"/>
      <c r="C16" s="107"/>
      <c r="D16" s="145">
        <v>41808</v>
      </c>
      <c r="E16" s="72">
        <v>0.79166666666666663</v>
      </c>
      <c r="F16" s="152" t="str">
        <f>info!$F$3</f>
        <v>Espanha</v>
      </c>
      <c r="G16" s="243"/>
      <c r="H16" s="73"/>
      <c r="I16" s="74" t="s">
        <v>3</v>
      </c>
      <c r="J16" s="73"/>
      <c r="K16" s="245"/>
      <c r="L16" s="237" t="str">
        <f>info!$F$5</f>
        <v>Chile</v>
      </c>
      <c r="M16" s="187" t="s">
        <v>101</v>
      </c>
      <c r="N16" s="276" t="str">
        <f>IF(Q16&gt;0,1,"")</f>
        <v/>
      </c>
      <c r="O16" s="295" t="str">
        <f>IF(O2="www.guiadecompra.com",Jogo!AN13,"erro")</f>
        <v>Espanha</v>
      </c>
      <c r="P16" s="18">
        <f>IF(B5I=Tabela!O2,VLOOKUP(O16,Jogo!$A$13:$I$16,2,FALSE),0)</f>
        <v>0</v>
      </c>
      <c r="Q16" s="19">
        <f>IF(D5I=Tabela!O3,VLOOKUP(O16,Jogo!$A$13:$I$16,3,FALSE),0)</f>
        <v>0</v>
      </c>
      <c r="R16" s="19">
        <f>VLOOKUP(O16,Jogo!$A$13:$I$16,4,FALSE)</f>
        <v>0</v>
      </c>
      <c r="S16" s="19">
        <f>VLOOKUP(O16,Jogo!$A$13:$I$16,5,FALSE)</f>
        <v>0</v>
      </c>
      <c r="T16" s="19">
        <f>VLOOKUP(O16,Jogo!$A$13:$I$16,6,FALSE)</f>
        <v>0</v>
      </c>
      <c r="U16" s="19">
        <f>VLOOKUP(O16,Jogo!$A$13:$I$16,7,FALSE)</f>
        <v>0</v>
      </c>
      <c r="V16" s="19">
        <f>VLOOKUP(O16,Jogo!$A$13:$I$16,8,FALSE)</f>
        <v>0</v>
      </c>
      <c r="W16" s="147">
        <f>VLOOKUP(O16,Jogo!$A$13:$I$16,9,FALSE)</f>
        <v>0</v>
      </c>
      <c r="X16" s="108"/>
      <c r="Y16" s="98" t="s">
        <v>22</v>
      </c>
      <c r="AA16" s="101"/>
    </row>
    <row r="17" spans="2:27" ht="15.95" customHeight="1" x14ac:dyDescent="0.2">
      <c r="B17" s="101"/>
      <c r="C17" s="107"/>
      <c r="D17" s="145">
        <v>41808</v>
      </c>
      <c r="E17" s="72">
        <v>0.54166666666666663</v>
      </c>
      <c r="F17" s="152" t="str">
        <f>info!$F$4</f>
        <v>Holanda</v>
      </c>
      <c r="G17" s="243"/>
      <c r="H17" s="73"/>
      <c r="I17" s="74" t="s">
        <v>3</v>
      </c>
      <c r="J17" s="73"/>
      <c r="K17" s="245"/>
      <c r="L17" s="155" t="str">
        <f>info!$F$6</f>
        <v>Austrália</v>
      </c>
      <c r="M17" s="187" t="s">
        <v>102</v>
      </c>
      <c r="N17" s="276" t="str">
        <f>IF(Q17&gt;0,2,"")</f>
        <v/>
      </c>
      <c r="O17" s="295" t="str">
        <f>IF(O2="www.guiadecompra.com",Jogo!AN14,"erro")</f>
        <v>Holanda</v>
      </c>
      <c r="P17" s="18">
        <f>IF(B5I=Tabela!O2,VLOOKUP(O17,Jogo!$A$13:$I$16,2,FALSE),0)</f>
        <v>0</v>
      </c>
      <c r="Q17" s="19">
        <f>IF(D5I=Tabela!O3,VLOOKUP(O17,Jogo!$A$13:$I$16,3,FALSE),0)</f>
        <v>0</v>
      </c>
      <c r="R17" s="19">
        <f>VLOOKUP(O17,Jogo!$A$13:$I$16,4,FALSE)</f>
        <v>0</v>
      </c>
      <c r="S17" s="19">
        <f>VLOOKUP(O17,Jogo!$A$13:$I$16,5,FALSE)</f>
        <v>0</v>
      </c>
      <c r="T17" s="19">
        <f>VLOOKUP(O17,Jogo!$A$13:$I$16,6,FALSE)</f>
        <v>0</v>
      </c>
      <c r="U17" s="19">
        <f>VLOOKUP(O17,Jogo!$A$13:$I$16,7,FALSE)</f>
        <v>0</v>
      </c>
      <c r="V17" s="19">
        <f>VLOOKUP(O17,Jogo!$A$13:$I$16,8,FALSE)</f>
        <v>0</v>
      </c>
      <c r="W17" s="147">
        <f>VLOOKUP(O17,Jogo!$A$13:$I$16,9,FALSE)</f>
        <v>0</v>
      </c>
      <c r="X17" s="108"/>
      <c r="Y17" s="98" t="s">
        <v>23</v>
      </c>
      <c r="AA17" s="101"/>
    </row>
    <row r="18" spans="2:27" ht="15.95" customHeight="1" x14ac:dyDescent="0.2">
      <c r="B18" s="101"/>
      <c r="C18" s="107"/>
      <c r="D18" s="145">
        <v>41813</v>
      </c>
      <c r="E18" s="72">
        <v>0.54166666666666663</v>
      </c>
      <c r="F18" s="152" t="str">
        <f>info!$F$3</f>
        <v>Espanha</v>
      </c>
      <c r="G18" s="243"/>
      <c r="H18" s="73"/>
      <c r="I18" s="74" t="s">
        <v>3</v>
      </c>
      <c r="J18" s="73"/>
      <c r="K18" s="245"/>
      <c r="L18" s="155" t="str">
        <f>info!$F$6</f>
        <v>Austrália</v>
      </c>
      <c r="M18" s="187" t="s">
        <v>103</v>
      </c>
      <c r="N18" s="276" t="str">
        <f>IF(Q18&gt;0,3,"")</f>
        <v/>
      </c>
      <c r="O18" s="2" t="str">
        <f>IF(O2="www.guiadecompra.com",Jogo!AN15,"erro")</f>
        <v>Chile</v>
      </c>
      <c r="P18" s="18">
        <f>IF(B5I=Tabela!O2,VLOOKUP(O18,Jogo!$A$13:$I$16,2,FALSE),0)</f>
        <v>0</v>
      </c>
      <c r="Q18" s="19">
        <f>IF(D5I=Tabela!O3,VLOOKUP(O18,Jogo!$A$13:$I$16,3,FALSE),0)</f>
        <v>0</v>
      </c>
      <c r="R18" s="19">
        <f>VLOOKUP(O18,Jogo!$A$13:$I$16,4,FALSE)</f>
        <v>0</v>
      </c>
      <c r="S18" s="19">
        <f>VLOOKUP(O18,Jogo!$A$13:$I$16,5,FALSE)</f>
        <v>0</v>
      </c>
      <c r="T18" s="19">
        <f>VLOOKUP(O18,Jogo!$A$13:$I$16,6,FALSE)</f>
        <v>0</v>
      </c>
      <c r="U18" s="19">
        <f>VLOOKUP(O18,Jogo!$A$13:$I$16,7,FALSE)</f>
        <v>0</v>
      </c>
      <c r="V18" s="19">
        <f>VLOOKUP(O18,Jogo!$A$13:$I$16,8,FALSE)</f>
        <v>0</v>
      </c>
      <c r="W18" s="147">
        <f>VLOOKUP(O18,Jogo!$A$13:$I$16,9,FALSE)</f>
        <v>0</v>
      </c>
      <c r="X18" s="108"/>
      <c r="Y18" s="98" t="s">
        <v>24</v>
      </c>
      <c r="AA18" s="101"/>
    </row>
    <row r="19" spans="2:27" ht="15.95" customHeight="1" x14ac:dyDescent="0.2">
      <c r="B19" s="101"/>
      <c r="C19" s="107"/>
      <c r="D19" s="145">
        <v>41813</v>
      </c>
      <c r="E19" s="72">
        <v>0.54166666666666663</v>
      </c>
      <c r="F19" s="152" t="str">
        <f>info!$F$4</f>
        <v>Holanda</v>
      </c>
      <c r="G19" s="243"/>
      <c r="H19" s="73"/>
      <c r="I19" s="74" t="s">
        <v>3</v>
      </c>
      <c r="J19" s="73"/>
      <c r="K19" s="245"/>
      <c r="L19" s="237" t="str">
        <f>info!$F$5</f>
        <v>Chile</v>
      </c>
      <c r="M19" s="187" t="s">
        <v>93</v>
      </c>
      <c r="N19" s="277" t="str">
        <f>IF(Q19&gt;0,4,"")</f>
        <v/>
      </c>
      <c r="O19" s="296" t="str">
        <f>IF(O2="www.guiadecompra.com",Jogo!AN16,"erro")</f>
        <v>Austrália</v>
      </c>
      <c r="P19" s="148">
        <f>IF(B5I=Tabela!O2,VLOOKUP(O19,Jogo!$A$13:$I$16,2,FALSE),0)</f>
        <v>0</v>
      </c>
      <c r="Q19" s="149">
        <f>IF(D5I=Tabela!O3,VLOOKUP(O19,Jogo!$A$13:$I$16,3,FALSE),0)</f>
        <v>0</v>
      </c>
      <c r="R19" s="149">
        <f>VLOOKUP(O19,Jogo!$A$13:$I$16,4,FALSE)</f>
        <v>0</v>
      </c>
      <c r="S19" s="149">
        <f>VLOOKUP(O19,Jogo!$A$13:$I$16,5,FALSE)</f>
        <v>0</v>
      </c>
      <c r="T19" s="149">
        <f>VLOOKUP(O19,Jogo!$A$13:$I$16,6,FALSE)</f>
        <v>0</v>
      </c>
      <c r="U19" s="149">
        <f>VLOOKUP(O19,Jogo!$A$13:$I$16,7,FALSE)</f>
        <v>0</v>
      </c>
      <c r="V19" s="149">
        <f>VLOOKUP(O19,Jogo!$A$13:$I$16,8,FALSE)</f>
        <v>0</v>
      </c>
      <c r="W19" s="150">
        <f>VLOOKUP(O19,Jogo!$A$13:$I$16,9,FALSE)</f>
        <v>0</v>
      </c>
      <c r="X19" s="108"/>
      <c r="Y19" s="98" t="s">
        <v>25</v>
      </c>
      <c r="AA19" s="101"/>
    </row>
    <row r="20" spans="2:27" ht="15.95" customHeight="1" x14ac:dyDescent="0.2">
      <c r="B20" s="101"/>
      <c r="C20" s="107"/>
      <c r="D20" s="20"/>
      <c r="E20" s="21"/>
      <c r="F20" s="22"/>
      <c r="G20" s="23"/>
      <c r="H20" s="24"/>
      <c r="I20" s="24"/>
      <c r="J20" s="24"/>
      <c r="K20" s="24"/>
      <c r="L20" s="2"/>
      <c r="M20" s="25"/>
      <c r="N20" s="279"/>
      <c r="P20" s="22"/>
      <c r="Q20" s="22"/>
      <c r="R20" s="22"/>
      <c r="S20" s="22"/>
      <c r="T20" s="22"/>
      <c r="U20" s="22"/>
      <c r="V20" s="22"/>
      <c r="W20" s="22"/>
      <c r="X20" s="108"/>
      <c r="Y20" s="98" t="s">
        <v>26</v>
      </c>
      <c r="AA20" s="101"/>
    </row>
    <row r="21" spans="2:27" ht="15.95" customHeight="1" x14ac:dyDescent="0.2">
      <c r="B21" s="101"/>
      <c r="C21" s="107"/>
      <c r="D21" s="322" t="s">
        <v>27</v>
      </c>
      <c r="E21" s="322"/>
      <c r="F21" s="322"/>
      <c r="G21" s="75"/>
      <c r="H21" s="308"/>
      <c r="I21" s="308"/>
      <c r="J21" s="308"/>
      <c r="K21" s="75"/>
      <c r="L21" s="76"/>
      <c r="M21" s="77"/>
      <c r="N21" s="282"/>
      <c r="O21" s="76"/>
      <c r="P21" s="75"/>
      <c r="Q21" s="75"/>
      <c r="R21" s="75"/>
      <c r="S21" s="75"/>
      <c r="T21" s="78"/>
      <c r="U21" s="78"/>
      <c r="V21" s="78"/>
      <c r="W21" s="78"/>
      <c r="X21" s="108"/>
      <c r="Y21" s="98" t="s">
        <v>28</v>
      </c>
      <c r="AA21" s="101"/>
    </row>
    <row r="22" spans="2:27" ht="15.95" customHeight="1" thickBot="1" x14ac:dyDescent="0.25">
      <c r="B22" s="101"/>
      <c r="C22" s="107"/>
      <c r="D22" s="131">
        <v>41804</v>
      </c>
      <c r="E22" s="79">
        <v>0.54166666666666663</v>
      </c>
      <c r="F22" s="248" t="str">
        <f>info!$I$3</f>
        <v>Colômbia</v>
      </c>
      <c r="G22" s="246"/>
      <c r="H22" s="80"/>
      <c r="I22" s="81" t="s">
        <v>3</v>
      </c>
      <c r="J22" s="80"/>
      <c r="K22" s="249"/>
      <c r="L22" s="247" t="str">
        <f>info!$I$4</f>
        <v>Grécia</v>
      </c>
      <c r="M22" s="188" t="s">
        <v>105</v>
      </c>
      <c r="N22" s="283"/>
      <c r="O22" s="334" t="s">
        <v>29</v>
      </c>
      <c r="P22" s="334"/>
      <c r="Q22" s="334"/>
      <c r="R22" s="334"/>
      <c r="S22" s="334"/>
      <c r="T22" s="334"/>
      <c r="U22" s="334"/>
      <c r="V22" s="334"/>
      <c r="W22" s="335"/>
      <c r="X22" s="108"/>
      <c r="Y22" s="99"/>
      <c r="AA22" s="101"/>
    </row>
    <row r="23" spans="2:27" ht="15.95" customHeight="1" x14ac:dyDescent="0.2">
      <c r="B23" s="101"/>
      <c r="C23" s="107"/>
      <c r="D23" s="131">
        <v>41804</v>
      </c>
      <c r="E23" s="79">
        <v>0.79166666666666663</v>
      </c>
      <c r="F23" s="248" t="str">
        <f>info!$I$5</f>
        <v>Costa do Marfim</v>
      </c>
      <c r="G23" s="246"/>
      <c r="H23" s="80"/>
      <c r="I23" s="81" t="s">
        <v>3</v>
      </c>
      <c r="J23" s="80"/>
      <c r="K23" s="249"/>
      <c r="L23" s="247" t="str">
        <f>info!$I$6</f>
        <v>Japão</v>
      </c>
      <c r="M23" s="188" t="s">
        <v>98</v>
      </c>
      <c r="N23" s="284"/>
      <c r="O23" s="17"/>
      <c r="P23" s="218" t="s">
        <v>6</v>
      </c>
      <c r="Q23" s="218" t="s">
        <v>7</v>
      </c>
      <c r="R23" s="218" t="s">
        <v>8</v>
      </c>
      <c r="S23" s="218" t="s">
        <v>9</v>
      </c>
      <c r="T23" s="218" t="s">
        <v>10</v>
      </c>
      <c r="U23" s="218" t="s">
        <v>11</v>
      </c>
      <c r="V23" s="218" t="s">
        <v>12</v>
      </c>
      <c r="W23" s="219" t="s">
        <v>13</v>
      </c>
      <c r="X23" s="108"/>
      <c r="AA23" s="101"/>
    </row>
    <row r="24" spans="2:27" ht="15.95" customHeight="1" x14ac:dyDescent="0.2">
      <c r="B24" s="101"/>
      <c r="C24" s="107"/>
      <c r="D24" s="131">
        <v>41809</v>
      </c>
      <c r="E24" s="79">
        <v>0.54166666666666663</v>
      </c>
      <c r="F24" s="248" t="str">
        <f>info!$I$3</f>
        <v>Colômbia</v>
      </c>
      <c r="G24" s="246"/>
      <c r="H24" s="80"/>
      <c r="I24" s="81" t="s">
        <v>3</v>
      </c>
      <c r="J24" s="80"/>
      <c r="K24" s="249"/>
      <c r="L24" s="247" t="str">
        <f>info!$I$5</f>
        <v>Costa do Marfim</v>
      </c>
      <c r="M24" s="188" t="s">
        <v>97</v>
      </c>
      <c r="N24" s="284" t="str">
        <f>IF(Q24&gt;0,1,"")</f>
        <v/>
      </c>
      <c r="O24" s="295" t="str">
        <f>IF(O2="www.guiadecompra.com",Jogo!AN21,"erro")</f>
        <v>Colômbia</v>
      </c>
      <c r="P24" s="18">
        <f>IF(B5I=Tabela!O2,VLOOKUP(O24,Jogo!$A$21:$I$24,2,FALSE),0)</f>
        <v>0</v>
      </c>
      <c r="Q24" s="19">
        <f>IF(D5I=Tabela!O3,VLOOKUP(O24,Jogo!$A$21:$I$24,3,FALSE),0)</f>
        <v>0</v>
      </c>
      <c r="R24" s="19">
        <f>VLOOKUP(O24,Jogo!$A$21:$I$24,4,FALSE)</f>
        <v>0</v>
      </c>
      <c r="S24" s="19">
        <f>VLOOKUP(O24,Jogo!$A$21:$I$24,5,FALSE)</f>
        <v>0</v>
      </c>
      <c r="T24" s="19">
        <f>VLOOKUP(O24,Jogo!$A$21:$I$24,6,FALSE)</f>
        <v>0</v>
      </c>
      <c r="U24" s="19">
        <f>VLOOKUP(O24,Jogo!$A$21:$I$24,7,FALSE)</f>
        <v>0</v>
      </c>
      <c r="V24" s="19">
        <f>VLOOKUP(O24,Jogo!$A$21:$I$24,8,FALSE)</f>
        <v>0</v>
      </c>
      <c r="W24" s="220">
        <f>VLOOKUP(O24,Jogo!$A$21:$I$24,9,FALSE)</f>
        <v>0</v>
      </c>
      <c r="X24" s="108"/>
      <c r="Y24" s="7" t="s">
        <v>30</v>
      </c>
      <c r="AA24" s="101"/>
    </row>
    <row r="25" spans="2:27" ht="15.95" customHeight="1" x14ac:dyDescent="0.2">
      <c r="B25" s="101"/>
      <c r="C25" s="107"/>
      <c r="D25" s="131">
        <v>41809</v>
      </c>
      <c r="E25" s="79">
        <v>0.79166666666666663</v>
      </c>
      <c r="F25" s="248" t="str">
        <f>info!$I$4</f>
        <v>Grécia</v>
      </c>
      <c r="G25" s="246"/>
      <c r="H25" s="80"/>
      <c r="I25" s="81" t="s">
        <v>3</v>
      </c>
      <c r="J25" s="80"/>
      <c r="K25" s="249"/>
      <c r="L25" s="247" t="str">
        <f>info!$I$6</f>
        <v>Japão</v>
      </c>
      <c r="M25" s="188" t="s">
        <v>94</v>
      </c>
      <c r="N25" s="284" t="str">
        <f>IF(Q25&gt;0,2,"")</f>
        <v/>
      </c>
      <c r="O25" s="295" t="str">
        <f>IF(O2="www.guiadecompra.com",Jogo!AN22,"erro")</f>
        <v>Grécia</v>
      </c>
      <c r="P25" s="18">
        <f>IF(B5I=Tabela!O2,VLOOKUP(O25,Jogo!$A$21:$I$24,2,FALSE),0)</f>
        <v>0</v>
      </c>
      <c r="Q25" s="19">
        <f>IF(D5I=Tabela!O3,VLOOKUP(O25,Jogo!$A$21:$I$24,3,FALSE),0)</f>
        <v>0</v>
      </c>
      <c r="R25" s="19">
        <f>VLOOKUP(O25,Jogo!$A$21:$I$24,4,FALSE)</f>
        <v>0</v>
      </c>
      <c r="S25" s="19">
        <f>VLOOKUP(O25,Jogo!$A$21:$I$24,5,FALSE)</f>
        <v>0</v>
      </c>
      <c r="T25" s="19">
        <f>VLOOKUP(O25,Jogo!$A$21:$I$24,6,FALSE)</f>
        <v>0</v>
      </c>
      <c r="U25" s="19">
        <f>VLOOKUP(O25,Jogo!$A$21:$I$24,7,FALSE)</f>
        <v>0</v>
      </c>
      <c r="V25" s="19">
        <f>VLOOKUP(O25,Jogo!$A$21:$I$24,8,FALSE)</f>
        <v>0</v>
      </c>
      <c r="W25" s="220">
        <f>VLOOKUP(O25,Jogo!$A$21:$I$24,9,FALSE)</f>
        <v>0</v>
      </c>
      <c r="X25" s="108"/>
      <c r="AA25" s="101"/>
    </row>
    <row r="26" spans="2:27" ht="15.95" customHeight="1" x14ac:dyDescent="0.2">
      <c r="B26" s="101"/>
      <c r="C26" s="107"/>
      <c r="D26" s="131">
        <v>41814</v>
      </c>
      <c r="E26" s="79">
        <v>0.70833333333333337</v>
      </c>
      <c r="F26" s="248" t="str">
        <f>info!$I$3</f>
        <v>Colômbia</v>
      </c>
      <c r="G26" s="246"/>
      <c r="H26" s="80"/>
      <c r="I26" s="81" t="s">
        <v>3</v>
      </c>
      <c r="J26" s="80"/>
      <c r="K26" s="249"/>
      <c r="L26" s="247" t="str">
        <f>info!$I$6</f>
        <v>Japão</v>
      </c>
      <c r="M26" s="188" t="s">
        <v>100</v>
      </c>
      <c r="N26" s="284" t="str">
        <f>IF(Q26&gt;0,3,"")</f>
        <v/>
      </c>
      <c r="O26" s="2" t="str">
        <f>IF(O2="www.guiadecompra.com",Jogo!AN23,"erro")</f>
        <v>Costa do Marfim</v>
      </c>
      <c r="P26" s="18">
        <f>IF(B5I=Tabela!O2,VLOOKUP(O26,Jogo!$A$21:$I$24,2,FALSE),0)</f>
        <v>0</v>
      </c>
      <c r="Q26" s="19">
        <f>IF(D5I=Tabela!O3,VLOOKUP(O26,Jogo!$A$21:$I$24,3,FALSE),0)</f>
        <v>0</v>
      </c>
      <c r="R26" s="19">
        <f>VLOOKUP(O26,Jogo!$A$21:$I$24,4,FALSE)</f>
        <v>0</v>
      </c>
      <c r="S26" s="19">
        <f>VLOOKUP(O26,Jogo!$A$21:$I$24,5,FALSE)</f>
        <v>0</v>
      </c>
      <c r="T26" s="19">
        <f>VLOOKUP(O26,Jogo!$A$21:$I$24,6,FALSE)</f>
        <v>0</v>
      </c>
      <c r="U26" s="19">
        <f>VLOOKUP(O26,Jogo!$A$21:$I$24,7,FALSE)</f>
        <v>0</v>
      </c>
      <c r="V26" s="19">
        <f>VLOOKUP(O26,Jogo!$A$21:$I$24,8,FALSE)</f>
        <v>0</v>
      </c>
      <c r="W26" s="220">
        <f>VLOOKUP(O26,Jogo!$A$21:$I$24,9,FALSE)</f>
        <v>0</v>
      </c>
      <c r="X26" s="108"/>
      <c r="Y26" s="54" t="s">
        <v>31</v>
      </c>
      <c r="AA26" s="101"/>
    </row>
    <row r="27" spans="2:27" ht="15.95" customHeight="1" x14ac:dyDescent="0.2">
      <c r="B27" s="101"/>
      <c r="C27" s="107"/>
      <c r="D27" s="131">
        <v>41814</v>
      </c>
      <c r="E27" s="79">
        <v>0.70833333333333337</v>
      </c>
      <c r="F27" s="248" t="str">
        <f>info!$I$4</f>
        <v>Grécia</v>
      </c>
      <c r="G27" s="246"/>
      <c r="H27" s="80"/>
      <c r="I27" s="81" t="s">
        <v>3</v>
      </c>
      <c r="J27" s="80"/>
      <c r="K27" s="249"/>
      <c r="L27" s="247" t="str">
        <f>info!$I$5</f>
        <v>Costa do Marfim</v>
      </c>
      <c r="M27" s="188" t="s">
        <v>95</v>
      </c>
      <c r="N27" s="285" t="str">
        <f>IF(Q27&gt;0,4,"")</f>
        <v/>
      </c>
      <c r="O27" s="217" t="str">
        <f>IF(O2="www.guiadecompra.com",Jogo!AN24,"erro")</f>
        <v>Japão</v>
      </c>
      <c r="P27" s="221">
        <f>IF(B5I=Tabela!O2,VLOOKUP(O27,Jogo!$A$21:$I$24,2,FALSE),0)</f>
        <v>0</v>
      </c>
      <c r="Q27" s="222">
        <f>IF(D5I=Tabela!O3,VLOOKUP(O27,Jogo!$A$21:$I$24,3,FALSE),0)</f>
        <v>0</v>
      </c>
      <c r="R27" s="222">
        <f>VLOOKUP(O27,Jogo!$A$21:$I$24,4,FALSE)</f>
        <v>0</v>
      </c>
      <c r="S27" s="222">
        <f>VLOOKUP(O27,Jogo!$A$21:$I$24,5,FALSE)</f>
        <v>0</v>
      </c>
      <c r="T27" s="222">
        <f>VLOOKUP(O27,Jogo!$A$21:$I$24,6,FALSE)</f>
        <v>0</v>
      </c>
      <c r="U27" s="222">
        <f>VLOOKUP(O27,Jogo!$A$21:$I$24,7,FALSE)</f>
        <v>0</v>
      </c>
      <c r="V27" s="222">
        <f>VLOOKUP(O27,Jogo!$A$21:$I$24,8,FALSE)</f>
        <v>0</v>
      </c>
      <c r="W27" s="223">
        <f>VLOOKUP(O27,Jogo!$A$21:$I$24,9,FALSE)</f>
        <v>0</v>
      </c>
      <c r="X27" s="108"/>
      <c r="Y27" s="54" t="s">
        <v>32</v>
      </c>
      <c r="AA27" s="101"/>
    </row>
    <row r="28" spans="2:27" ht="15.95" customHeight="1" x14ac:dyDescent="0.2">
      <c r="B28" s="101"/>
      <c r="C28" s="107"/>
      <c r="D28" s="20"/>
      <c r="E28" s="21"/>
      <c r="F28" s="22"/>
      <c r="G28" s="23"/>
      <c r="H28" s="24"/>
      <c r="I28" s="24"/>
      <c r="J28" s="24"/>
      <c r="K28" s="24"/>
      <c r="L28" s="2"/>
      <c r="M28" s="1"/>
      <c r="N28" s="279"/>
      <c r="P28" s="22"/>
      <c r="Q28" s="22"/>
      <c r="R28" s="22"/>
      <c r="S28" s="22"/>
      <c r="T28" s="22"/>
      <c r="U28" s="22"/>
      <c r="V28" s="22"/>
      <c r="W28" s="22"/>
      <c r="X28" s="108"/>
      <c r="AA28" s="101"/>
    </row>
    <row r="29" spans="2:27" ht="15.95" customHeight="1" x14ac:dyDescent="0.2">
      <c r="B29" s="101"/>
      <c r="C29" s="107"/>
      <c r="D29" s="321" t="s">
        <v>33</v>
      </c>
      <c r="E29" s="321"/>
      <c r="F29" s="321"/>
      <c r="G29" s="82"/>
      <c r="H29" s="313"/>
      <c r="I29" s="313"/>
      <c r="J29" s="313"/>
      <c r="K29" s="82"/>
      <c r="L29" s="83"/>
      <c r="M29" s="84"/>
      <c r="N29" s="286"/>
      <c r="O29" s="83"/>
      <c r="P29" s="82"/>
      <c r="Q29" s="82"/>
      <c r="R29" s="82"/>
      <c r="S29" s="82"/>
      <c r="T29" s="85"/>
      <c r="U29" s="86"/>
      <c r="V29" s="86"/>
      <c r="W29" s="86"/>
      <c r="X29" s="108"/>
      <c r="AA29" s="101"/>
    </row>
    <row r="30" spans="2:27" ht="15.95" customHeight="1" x14ac:dyDescent="0.2">
      <c r="B30" s="101"/>
      <c r="C30" s="107"/>
      <c r="D30" s="132">
        <v>41804</v>
      </c>
      <c r="E30" s="87">
        <v>0.66666666666666663</v>
      </c>
      <c r="F30" s="256" t="str">
        <f>info!$L$3</f>
        <v>Uruguai</v>
      </c>
      <c r="G30" s="254"/>
      <c r="H30" s="88"/>
      <c r="I30" s="89" t="s">
        <v>3</v>
      </c>
      <c r="J30" s="88"/>
      <c r="K30" s="257"/>
      <c r="L30" s="255" t="str">
        <f>info!$L$4</f>
        <v>Costa Rica</v>
      </c>
      <c r="M30" s="189" t="s">
        <v>95</v>
      </c>
      <c r="N30" s="287"/>
      <c r="O30" s="338" t="s">
        <v>34</v>
      </c>
      <c r="P30" s="338"/>
      <c r="Q30" s="338"/>
      <c r="R30" s="338"/>
      <c r="S30" s="338"/>
      <c r="T30" s="338"/>
      <c r="U30" s="338"/>
      <c r="V30" s="338"/>
      <c r="W30" s="339"/>
      <c r="X30" s="108"/>
      <c r="AA30" s="101"/>
    </row>
    <row r="31" spans="2:27" ht="15.95" customHeight="1" x14ac:dyDescent="0.2">
      <c r="B31" s="101"/>
      <c r="C31" s="107"/>
      <c r="D31" s="132">
        <v>41804</v>
      </c>
      <c r="E31" s="87">
        <v>0.79166666666666663</v>
      </c>
      <c r="F31" s="256" t="str">
        <f>info!$L$5</f>
        <v>Inglaterra</v>
      </c>
      <c r="G31" s="254"/>
      <c r="H31" s="88"/>
      <c r="I31" s="89" t="s">
        <v>3</v>
      </c>
      <c r="J31" s="88"/>
      <c r="K31" s="257"/>
      <c r="L31" s="255" t="str">
        <f>info!$L$6</f>
        <v>Itália</v>
      </c>
      <c r="M31" s="189" t="s">
        <v>96</v>
      </c>
      <c r="N31" s="288"/>
      <c r="O31" s="17"/>
      <c r="P31" s="225" t="s">
        <v>6</v>
      </c>
      <c r="Q31" s="225" t="s">
        <v>7</v>
      </c>
      <c r="R31" s="225" t="s">
        <v>8</v>
      </c>
      <c r="S31" s="225" t="s">
        <v>9</v>
      </c>
      <c r="T31" s="225" t="s">
        <v>10</v>
      </c>
      <c r="U31" s="225" t="s">
        <v>11</v>
      </c>
      <c r="V31" s="225" t="s">
        <v>12</v>
      </c>
      <c r="W31" s="226" t="s">
        <v>13</v>
      </c>
      <c r="X31" s="108"/>
      <c r="AA31" s="101"/>
    </row>
    <row r="32" spans="2:27" ht="15.95" customHeight="1" x14ac:dyDescent="0.2">
      <c r="B32" s="101"/>
      <c r="C32" s="107"/>
      <c r="D32" s="132">
        <v>41809</v>
      </c>
      <c r="E32" s="87">
        <v>0.66666666666666663</v>
      </c>
      <c r="F32" s="256" t="str">
        <f>info!$L$3</f>
        <v>Uruguai</v>
      </c>
      <c r="G32" s="254"/>
      <c r="H32" s="88"/>
      <c r="I32" s="89" t="s">
        <v>3</v>
      </c>
      <c r="J32" s="88"/>
      <c r="K32" s="257"/>
      <c r="L32" s="255" t="str">
        <f>info!$L$5</f>
        <v>Inglaterra</v>
      </c>
      <c r="M32" s="189" t="s">
        <v>93</v>
      </c>
      <c r="N32" s="288" t="str">
        <f>IF(Q32&gt;0,1,"")</f>
        <v/>
      </c>
      <c r="O32" s="295" t="str">
        <f>IF(O2="www.guiadecompra.com",Jogo!AN29,"erro")</f>
        <v>Uruguai</v>
      </c>
      <c r="P32" s="18">
        <f>IF(B5I=Tabela!O2,VLOOKUP(O32,Jogo!$A$29:$I$32,2,FALSE),0)</f>
        <v>0</v>
      </c>
      <c r="Q32" s="19">
        <f>IF(D5I=Tabela!O3,VLOOKUP(O32,Jogo!$A$29:$I$32,3,FALSE),0)</f>
        <v>0</v>
      </c>
      <c r="R32" s="19">
        <f>VLOOKUP(O32,Jogo!$A$29:$I$32,4,FALSE)</f>
        <v>0</v>
      </c>
      <c r="S32" s="19">
        <f>VLOOKUP(O32,Jogo!$A$29:$I$32,5,FALSE)</f>
        <v>0</v>
      </c>
      <c r="T32" s="19">
        <f>VLOOKUP(O32,Jogo!$A$29:$I$32,6,FALSE)</f>
        <v>0</v>
      </c>
      <c r="U32" s="19">
        <f>VLOOKUP(O32,Jogo!$A$29:$I$32,7,FALSE)</f>
        <v>0</v>
      </c>
      <c r="V32" s="19">
        <f>VLOOKUP(O32,Jogo!$A$29:$I$32,8,FALSE)</f>
        <v>0</v>
      </c>
      <c r="W32" s="227">
        <f>VLOOKUP(O32,Jogo!$A$29:$I$32,9,FALSE)</f>
        <v>0</v>
      </c>
      <c r="X32" s="108"/>
      <c r="AA32" s="101"/>
    </row>
    <row r="33" spans="2:27" ht="15.95" customHeight="1" x14ac:dyDescent="0.2">
      <c r="B33" s="101"/>
      <c r="C33" s="107"/>
      <c r="D33" s="132">
        <v>41810</v>
      </c>
      <c r="E33" s="87">
        <v>0.54166666666666663</v>
      </c>
      <c r="F33" s="256" t="str">
        <f>info!$L$4</f>
        <v>Costa Rica</v>
      </c>
      <c r="G33" s="254"/>
      <c r="H33" s="88"/>
      <c r="I33" s="89" t="s">
        <v>3</v>
      </c>
      <c r="J33" s="88"/>
      <c r="K33" s="257"/>
      <c r="L33" s="255" t="str">
        <f>info!$L$6</f>
        <v>Itália</v>
      </c>
      <c r="M33" s="189" t="s">
        <v>98</v>
      </c>
      <c r="N33" s="288" t="str">
        <f>IF(Q33&gt;0,2,"")</f>
        <v/>
      </c>
      <c r="O33" s="295" t="str">
        <f>IF(O2="www.guiadecompra.com",Jogo!AN30,"erro")</f>
        <v>Costa Rica</v>
      </c>
      <c r="P33" s="18">
        <f>IF(B5I=Tabela!O2,VLOOKUP(O33,Jogo!$A$29:$I$32,2,FALSE),0)</f>
        <v>0</v>
      </c>
      <c r="Q33" s="19">
        <f>IF(D5I=Tabela!O3,VLOOKUP(O33,Jogo!$A$29:$I$32,3,FALSE),0)</f>
        <v>0</v>
      </c>
      <c r="R33" s="19">
        <f>VLOOKUP(O33,Jogo!$A$29:$I$32,4,FALSE)</f>
        <v>0</v>
      </c>
      <c r="S33" s="19">
        <f>VLOOKUP(O33,Jogo!$A$29:$I$32,5,FALSE)</f>
        <v>0</v>
      </c>
      <c r="T33" s="19">
        <f>VLOOKUP(O33,Jogo!$A$29:$I$32,6,FALSE)</f>
        <v>0</v>
      </c>
      <c r="U33" s="19">
        <f>VLOOKUP(O33,Jogo!$A$29:$I$32,7,FALSE)</f>
        <v>0</v>
      </c>
      <c r="V33" s="19">
        <f>VLOOKUP(O33,Jogo!$A$29:$I$32,8,FALSE)</f>
        <v>0</v>
      </c>
      <c r="W33" s="227">
        <f>VLOOKUP(O33,Jogo!$A$29:$I$32,9,FALSE)</f>
        <v>0</v>
      </c>
      <c r="X33" s="108"/>
      <c r="AA33" s="101"/>
    </row>
    <row r="34" spans="2:27" ht="15.95" customHeight="1" x14ac:dyDescent="0.2">
      <c r="B34" s="101"/>
      <c r="C34" s="107"/>
      <c r="D34" s="132">
        <v>41814</v>
      </c>
      <c r="E34" s="87">
        <v>0.54166666666666663</v>
      </c>
      <c r="F34" s="256" t="str">
        <f>info!$L$3</f>
        <v>Uruguai</v>
      </c>
      <c r="G34" s="254"/>
      <c r="H34" s="88"/>
      <c r="I34" s="89" t="s">
        <v>3</v>
      </c>
      <c r="J34" s="88"/>
      <c r="K34" s="257"/>
      <c r="L34" s="255" t="str">
        <f>info!$L$6</f>
        <v>Itália</v>
      </c>
      <c r="M34" s="189" t="s">
        <v>94</v>
      </c>
      <c r="N34" s="288" t="str">
        <f>IF(Q34&gt;0,3,"")</f>
        <v/>
      </c>
      <c r="O34" s="2" t="str">
        <f>IF(O2="www.guiadecompra.com",Jogo!AN31,"erro")</f>
        <v>Inglaterra</v>
      </c>
      <c r="P34" s="18">
        <f>IF(B5I=Tabela!O2,VLOOKUP(O34,Jogo!$A$29:$I$32,2,FALSE),0)</f>
        <v>0</v>
      </c>
      <c r="Q34" s="19">
        <f>IF(D5I=Tabela!O3,VLOOKUP(O34,Jogo!$A$29:$I$32,3,FALSE),0)</f>
        <v>0</v>
      </c>
      <c r="R34" s="19">
        <f>VLOOKUP(O34,Jogo!$A$29:$I$32,4,FALSE)</f>
        <v>0</v>
      </c>
      <c r="S34" s="19">
        <f>VLOOKUP(O34,Jogo!$A$29:$I$32,5,FALSE)</f>
        <v>0</v>
      </c>
      <c r="T34" s="19">
        <f>VLOOKUP(O34,Jogo!$A$29:$I$32,6,FALSE)</f>
        <v>0</v>
      </c>
      <c r="U34" s="19">
        <f>VLOOKUP(O34,Jogo!$A$29:$I$32,7,FALSE)</f>
        <v>0</v>
      </c>
      <c r="V34" s="19">
        <f>VLOOKUP(O34,Jogo!$A$29:$I$32,8,FALSE)</f>
        <v>0</v>
      </c>
      <c r="W34" s="227">
        <f>VLOOKUP(O34,Jogo!$A$29:$I$32,9,FALSE)</f>
        <v>0</v>
      </c>
      <c r="X34" s="108"/>
      <c r="AA34" s="101"/>
    </row>
    <row r="35" spans="2:27" ht="15.95" customHeight="1" x14ac:dyDescent="0.2">
      <c r="B35" s="101"/>
      <c r="C35" s="107"/>
      <c r="D35" s="132">
        <v>41814</v>
      </c>
      <c r="E35" s="87">
        <v>0.54166666666666663</v>
      </c>
      <c r="F35" s="256" t="str">
        <f>info!$L$4</f>
        <v>Costa Rica</v>
      </c>
      <c r="G35" s="254"/>
      <c r="H35" s="88"/>
      <c r="I35" s="89" t="s">
        <v>3</v>
      </c>
      <c r="J35" s="88"/>
      <c r="K35" s="257"/>
      <c r="L35" s="255" t="str">
        <f>info!$L$5</f>
        <v>Inglaterra</v>
      </c>
      <c r="M35" s="189" t="s">
        <v>105</v>
      </c>
      <c r="N35" s="289" t="str">
        <f>IF(Q35&gt;0,4,"")</f>
        <v/>
      </c>
      <c r="O35" s="224" t="str">
        <f>IF(O2="www.guiadecompra.com",Jogo!AN32,"erro")</f>
        <v>Itália</v>
      </c>
      <c r="P35" s="228">
        <f>IF(B5I=Tabela!O2,VLOOKUP(O35,Jogo!$A$29:$I$32,2,FALSE),0)</f>
        <v>0</v>
      </c>
      <c r="Q35" s="229">
        <f>IF(D5I=Tabela!O3,VLOOKUP(O35,Jogo!$A$29:$I$32,3,FALSE),0)</f>
        <v>0</v>
      </c>
      <c r="R35" s="229">
        <f>VLOOKUP(O35,Jogo!$A$29:$I$32,4,FALSE)</f>
        <v>0</v>
      </c>
      <c r="S35" s="229">
        <f>VLOOKUP(O35,Jogo!$A$29:$I$32,5,FALSE)</f>
        <v>0</v>
      </c>
      <c r="T35" s="229">
        <f>VLOOKUP(O35,Jogo!$A$29:$I$32,6,FALSE)</f>
        <v>0</v>
      </c>
      <c r="U35" s="229">
        <f>VLOOKUP(O35,Jogo!$A$29:$I$32,7,FALSE)</f>
        <v>0</v>
      </c>
      <c r="V35" s="229">
        <f>VLOOKUP(O35,Jogo!$A$29:$I$32,8,FALSE)</f>
        <v>0</v>
      </c>
      <c r="W35" s="230">
        <f>VLOOKUP(O35,Jogo!$A$29:$I$32,9,FALSE)</f>
        <v>0</v>
      </c>
      <c r="X35" s="108"/>
      <c r="AA35" s="101"/>
    </row>
    <row r="36" spans="2:27" ht="15.95" customHeight="1" x14ac:dyDescent="0.2">
      <c r="B36" s="101"/>
      <c r="C36" s="107"/>
      <c r="D36" s="20"/>
      <c r="E36" s="21"/>
      <c r="F36" s="22"/>
      <c r="G36" s="23"/>
      <c r="H36" s="24"/>
      <c r="I36" s="24"/>
      <c r="J36" s="24"/>
      <c r="K36" s="24"/>
      <c r="L36" s="2"/>
      <c r="M36" s="25"/>
      <c r="N36" s="279"/>
      <c r="P36" s="22"/>
      <c r="Q36" s="22"/>
      <c r="R36" s="22"/>
      <c r="S36" s="22"/>
      <c r="T36" s="22"/>
      <c r="U36" s="22"/>
      <c r="V36" s="22"/>
      <c r="W36" s="22"/>
      <c r="X36" s="108"/>
      <c r="AA36" s="101"/>
    </row>
    <row r="37" spans="2:27" ht="15.95" customHeight="1" x14ac:dyDescent="0.2">
      <c r="B37" s="101"/>
      <c r="C37" s="107"/>
      <c r="D37" s="323" t="s">
        <v>35</v>
      </c>
      <c r="E37" s="323"/>
      <c r="F37" s="323"/>
      <c r="G37" s="61"/>
      <c r="H37" s="325"/>
      <c r="I37" s="325"/>
      <c r="J37" s="325"/>
      <c r="K37" s="61"/>
      <c r="L37" s="62"/>
      <c r="M37" s="61"/>
      <c r="N37" s="290"/>
      <c r="O37" s="62"/>
      <c r="P37" s="64"/>
      <c r="Q37" s="64"/>
      <c r="R37" s="64"/>
      <c r="S37" s="64"/>
      <c r="T37" s="61"/>
      <c r="U37" s="65"/>
      <c r="V37" s="65"/>
      <c r="W37" s="65"/>
      <c r="X37" s="108"/>
      <c r="AA37" s="101"/>
    </row>
    <row r="38" spans="2:27" ht="15.95" customHeight="1" x14ac:dyDescent="0.2">
      <c r="B38" s="101"/>
      <c r="C38" s="107"/>
      <c r="D38" s="129">
        <v>41805</v>
      </c>
      <c r="E38" s="57">
        <v>0.54166666666666663</v>
      </c>
      <c r="F38" s="251" t="str">
        <f>info!$C$10</f>
        <v>Suiça</v>
      </c>
      <c r="G38" s="118"/>
      <c r="H38" s="58"/>
      <c r="I38" s="59" t="s">
        <v>3</v>
      </c>
      <c r="J38" s="58"/>
      <c r="K38" s="117"/>
      <c r="L38" s="250" t="str">
        <f>info!$C$11</f>
        <v>Equador</v>
      </c>
      <c r="M38" s="185" t="s">
        <v>97</v>
      </c>
      <c r="N38" s="291"/>
      <c r="O38" s="326" t="s">
        <v>36</v>
      </c>
      <c r="P38" s="326"/>
      <c r="Q38" s="326"/>
      <c r="R38" s="326"/>
      <c r="S38" s="326"/>
      <c r="T38" s="326"/>
      <c r="U38" s="326"/>
      <c r="V38" s="326"/>
      <c r="W38" s="327"/>
      <c r="X38" s="108"/>
      <c r="AA38" s="101"/>
    </row>
    <row r="39" spans="2:27" ht="15.95" customHeight="1" x14ac:dyDescent="0.2">
      <c r="B39" s="101"/>
      <c r="C39" s="107"/>
      <c r="D39" s="129">
        <v>41805</v>
      </c>
      <c r="E39" s="57">
        <v>0.66666666666666663</v>
      </c>
      <c r="F39" s="251" t="str">
        <f>info!$C$12</f>
        <v>França</v>
      </c>
      <c r="G39" s="118"/>
      <c r="H39" s="58"/>
      <c r="I39" s="59" t="s">
        <v>3</v>
      </c>
      <c r="J39" s="58"/>
      <c r="K39" s="117"/>
      <c r="L39" s="250" t="str">
        <f>info!$C$13</f>
        <v>Honduras</v>
      </c>
      <c r="M39" s="185" t="s">
        <v>102</v>
      </c>
      <c r="N39" s="278"/>
      <c r="O39" s="17"/>
      <c r="P39" s="214" t="s">
        <v>6</v>
      </c>
      <c r="Q39" s="214" t="s">
        <v>7</v>
      </c>
      <c r="R39" s="214" t="s">
        <v>8</v>
      </c>
      <c r="S39" s="214" t="s">
        <v>9</v>
      </c>
      <c r="T39" s="214" t="s">
        <v>10</v>
      </c>
      <c r="U39" s="214" t="s">
        <v>11</v>
      </c>
      <c r="V39" s="214" t="s">
        <v>12</v>
      </c>
      <c r="W39" s="215" t="s">
        <v>13</v>
      </c>
      <c r="X39" s="108"/>
      <c r="AA39" s="101"/>
    </row>
    <row r="40" spans="2:27" ht="15.95" customHeight="1" x14ac:dyDescent="0.2">
      <c r="B40" s="101"/>
      <c r="C40" s="107"/>
      <c r="D40" s="129">
        <v>41810</v>
      </c>
      <c r="E40" s="57">
        <v>0.66666666666666663</v>
      </c>
      <c r="F40" s="251" t="str">
        <f>info!$C$10</f>
        <v>Suiça</v>
      </c>
      <c r="G40" s="118"/>
      <c r="H40" s="58"/>
      <c r="I40" s="59" t="s">
        <v>3</v>
      </c>
      <c r="J40" s="58"/>
      <c r="K40" s="117"/>
      <c r="L40" s="250" t="str">
        <f>info!$C$12</f>
        <v>França</v>
      </c>
      <c r="M40" s="185" t="s">
        <v>99</v>
      </c>
      <c r="N40" s="278" t="str">
        <f>IF(Q40&gt;0,1,"")</f>
        <v/>
      </c>
      <c r="O40" s="295" t="str">
        <f>IF(O2="www.guiadecompra.com",Jogo!AN37,"erro")</f>
        <v>Suiça</v>
      </c>
      <c r="P40" s="18">
        <f>IF(B5I=Tabela!O2,VLOOKUP(O40,Jogo!$A$37:$I$40,2,FALSE),0)</f>
        <v>0</v>
      </c>
      <c r="Q40" s="19">
        <f>IF(D5I=Tabela!O3,VLOOKUP(O40,Jogo!$A$37:$I$40,3,FALSE),0)</f>
        <v>0</v>
      </c>
      <c r="R40" s="19">
        <f>VLOOKUP(O40,Jogo!$A$37:$I$40,4,FALSE)</f>
        <v>0</v>
      </c>
      <c r="S40" s="19">
        <f>VLOOKUP(O40,Jogo!$A$37:$I$40,5,FALSE)</f>
        <v>0</v>
      </c>
      <c r="T40" s="19">
        <f>VLOOKUP(O40,Jogo!$A$37:$I$40,6,FALSE)</f>
        <v>0</v>
      </c>
      <c r="U40" s="19">
        <f>VLOOKUP(O40,Jogo!$A$37:$I$40,7,FALSE)</f>
        <v>0</v>
      </c>
      <c r="V40" s="19">
        <f>VLOOKUP(O40,Jogo!$A$37:$I$40,8,FALSE)</f>
        <v>0</v>
      </c>
      <c r="W40" s="90">
        <f>VLOOKUP(O40,Jogo!$A$37:$I$40,9,FALSE)</f>
        <v>0</v>
      </c>
      <c r="X40" s="108"/>
      <c r="AA40" s="101"/>
    </row>
    <row r="41" spans="2:27" ht="15.95" customHeight="1" x14ac:dyDescent="0.2">
      <c r="B41" s="101"/>
      <c r="C41" s="107"/>
      <c r="D41" s="129">
        <v>41810</v>
      </c>
      <c r="E41" s="57">
        <v>0.79166666666666663</v>
      </c>
      <c r="F41" s="251" t="str">
        <f>info!$C$11</f>
        <v>Equador</v>
      </c>
      <c r="G41" s="118"/>
      <c r="H41" s="58"/>
      <c r="I41" s="59" t="s">
        <v>3</v>
      </c>
      <c r="J41" s="58"/>
      <c r="K41" s="117"/>
      <c r="L41" s="250" t="str">
        <f>info!$C$13</f>
        <v>Honduras</v>
      </c>
      <c r="M41" s="185" t="s">
        <v>103</v>
      </c>
      <c r="N41" s="278" t="str">
        <f>IF(Q41&gt;0,2,"")</f>
        <v/>
      </c>
      <c r="O41" s="295" t="str">
        <f>IF(O2="www.guiadecompra.com",Jogo!AN38,"erro")</f>
        <v>Equador</v>
      </c>
      <c r="P41" s="18">
        <f>IF(B5I=Tabela!O2,VLOOKUP(O41,Jogo!$A$37:$I$40,2,FALSE),0)</f>
        <v>0</v>
      </c>
      <c r="Q41" s="19">
        <f>IF(D5I=Tabela!O3,VLOOKUP(O41,Jogo!$A$37:$I$40,3,FALSE),0)</f>
        <v>0</v>
      </c>
      <c r="R41" s="19">
        <f>VLOOKUP(O41,Jogo!$A$37:$I$40,4,FALSE)</f>
        <v>0</v>
      </c>
      <c r="S41" s="19">
        <f>VLOOKUP(O41,Jogo!$A$37:$I$40,5,FALSE)</f>
        <v>0</v>
      </c>
      <c r="T41" s="19">
        <f>VLOOKUP(O41,Jogo!$A$37:$I$40,6,FALSE)</f>
        <v>0</v>
      </c>
      <c r="U41" s="19">
        <f>VLOOKUP(O41,Jogo!$A$37:$I$40,7,FALSE)</f>
        <v>0</v>
      </c>
      <c r="V41" s="19">
        <f>VLOOKUP(O41,Jogo!$A$37:$I$40,8,FALSE)</f>
        <v>0</v>
      </c>
      <c r="W41" s="90">
        <f>VLOOKUP(O41,Jogo!$A$37:$I$40,9,FALSE)</f>
        <v>0</v>
      </c>
      <c r="X41" s="108"/>
      <c r="AA41" s="101"/>
    </row>
    <row r="42" spans="2:27" ht="15.95" customHeight="1" x14ac:dyDescent="0.2">
      <c r="B42" s="101"/>
      <c r="C42" s="107"/>
      <c r="D42" s="129">
        <v>41815</v>
      </c>
      <c r="E42" s="57">
        <v>0.70833333333333337</v>
      </c>
      <c r="F42" s="251" t="str">
        <f>info!$C$10</f>
        <v>Suiça</v>
      </c>
      <c r="G42" s="118"/>
      <c r="H42" s="58"/>
      <c r="I42" s="59" t="s">
        <v>3</v>
      </c>
      <c r="J42" s="58"/>
      <c r="K42" s="117"/>
      <c r="L42" s="250" t="str">
        <f>info!$C$13</f>
        <v>Honduras</v>
      </c>
      <c r="M42" s="185" t="s">
        <v>96</v>
      </c>
      <c r="N42" s="278" t="str">
        <f>IF(Q42&gt;0,3,"")</f>
        <v/>
      </c>
      <c r="O42" s="2" t="str">
        <f>IF(O2="www.guiadecompra.com",Jogo!AN39,"erro")</f>
        <v>França</v>
      </c>
      <c r="P42" s="18">
        <f>IF(B5I=Tabela!O2,VLOOKUP(O42,Jogo!$A$37:$I$40,2,FALSE),0)</f>
        <v>0</v>
      </c>
      <c r="Q42" s="19">
        <f>IF(D5I=Tabela!O3,VLOOKUP(O42,Jogo!$A$37:$I$40,3,FALSE),0)</f>
        <v>0</v>
      </c>
      <c r="R42" s="19">
        <f>VLOOKUP(O42,Jogo!$A$37:$I$40,4,FALSE)</f>
        <v>0</v>
      </c>
      <c r="S42" s="19">
        <f>VLOOKUP(O42,Jogo!$A$37:$I$40,5,FALSE)</f>
        <v>0</v>
      </c>
      <c r="T42" s="19">
        <f>VLOOKUP(O42,Jogo!$A$37:$I$40,6,FALSE)</f>
        <v>0</v>
      </c>
      <c r="U42" s="19">
        <f>VLOOKUP(O42,Jogo!$A$37:$I$40,7,FALSE)</f>
        <v>0</v>
      </c>
      <c r="V42" s="19">
        <f>VLOOKUP(O42,Jogo!$A$37:$I$40,8,FALSE)</f>
        <v>0</v>
      </c>
      <c r="W42" s="90">
        <f>VLOOKUP(O42,Jogo!$A$37:$I$40,9,FALSE)</f>
        <v>0</v>
      </c>
      <c r="X42" s="108"/>
      <c r="AA42" s="101"/>
    </row>
    <row r="43" spans="2:27" ht="15.95" customHeight="1" x14ac:dyDescent="0.2">
      <c r="B43" s="101"/>
      <c r="C43" s="107"/>
      <c r="D43" s="129">
        <v>41815</v>
      </c>
      <c r="E43" s="57">
        <v>0.70833333333333337</v>
      </c>
      <c r="F43" s="251" t="str">
        <f>info!$C$11</f>
        <v>Equador</v>
      </c>
      <c r="G43" s="118"/>
      <c r="H43" s="58"/>
      <c r="I43" s="59" t="s">
        <v>3</v>
      </c>
      <c r="J43" s="58"/>
      <c r="K43" s="117"/>
      <c r="L43" s="250" t="str">
        <f>info!$C$12</f>
        <v>França</v>
      </c>
      <c r="M43" s="185" t="s">
        <v>101</v>
      </c>
      <c r="N43" s="292" t="str">
        <f>IF(Q43&gt;0,4,"")</f>
        <v/>
      </c>
      <c r="O43" s="240" t="str">
        <f>IF(O2="www.guiadecompra.com",Jogo!AN40,"erro")</f>
        <v>Honduras</v>
      </c>
      <c r="P43" s="216">
        <f>IF(B5I=Tabela!O2,VLOOKUP(O43,Jogo!$A$37:$I$40,2,FALSE),0)</f>
        <v>0</v>
      </c>
      <c r="Q43" s="91">
        <f>IF(D5I=Tabela!O3,VLOOKUP(O43,Jogo!$A$37:$I$40,3,FALSE),0)</f>
        <v>0</v>
      </c>
      <c r="R43" s="91">
        <f>VLOOKUP(O43,Jogo!$A$37:$I$40,4,FALSE)</f>
        <v>0</v>
      </c>
      <c r="S43" s="91">
        <f>VLOOKUP(O43,Jogo!$A$37:$I$40,5,FALSE)</f>
        <v>0</v>
      </c>
      <c r="T43" s="91">
        <f>VLOOKUP(O43,Jogo!$A$37:$I$40,6,FALSE)</f>
        <v>0</v>
      </c>
      <c r="U43" s="91">
        <f>VLOOKUP(O43,Jogo!$A$37:$I$40,7,FALSE)</f>
        <v>0</v>
      </c>
      <c r="V43" s="91">
        <f>VLOOKUP(O43,Jogo!$A$37:$I$40,8,FALSE)</f>
        <v>0</v>
      </c>
      <c r="W43" s="92">
        <f>VLOOKUP(O43,Jogo!$A$37:$I$40,9,FALSE)</f>
        <v>0</v>
      </c>
      <c r="X43" s="108"/>
      <c r="AA43" s="101"/>
    </row>
    <row r="44" spans="2:27" ht="15.95" customHeight="1" x14ac:dyDescent="0.2">
      <c r="B44" s="101"/>
      <c r="C44" s="107"/>
      <c r="D44" s="20"/>
      <c r="E44" s="21"/>
      <c r="F44" s="22"/>
      <c r="G44" s="23"/>
      <c r="H44" s="24"/>
      <c r="I44" s="24"/>
      <c r="J44" s="24"/>
      <c r="K44" s="24"/>
      <c r="L44" s="2"/>
      <c r="M44" s="25"/>
      <c r="N44" s="279"/>
      <c r="P44" s="22"/>
      <c r="Q44" s="22"/>
      <c r="R44" s="22"/>
      <c r="S44" s="22"/>
      <c r="T44" s="22"/>
      <c r="U44" s="22"/>
      <c r="V44" s="22"/>
      <c r="W44" s="22"/>
      <c r="X44" s="108"/>
      <c r="AA44" s="101"/>
    </row>
    <row r="45" spans="2:27" ht="15.95" customHeight="1" x14ac:dyDescent="0.2">
      <c r="B45" s="101"/>
      <c r="C45" s="107"/>
      <c r="D45" s="324" t="s">
        <v>37</v>
      </c>
      <c r="E45" s="324"/>
      <c r="F45" s="324"/>
      <c r="G45" s="69"/>
      <c r="H45" s="307"/>
      <c r="I45" s="307"/>
      <c r="J45" s="307"/>
      <c r="K45" s="69"/>
      <c r="L45" s="67"/>
      <c r="M45" s="71"/>
      <c r="N45" s="293"/>
      <c r="O45" s="67"/>
      <c r="P45" s="69"/>
      <c r="Q45" s="69"/>
      <c r="R45" s="69"/>
      <c r="S45" s="69"/>
      <c r="T45" s="66"/>
      <c r="U45" s="70"/>
      <c r="V45" s="70"/>
      <c r="W45" s="70"/>
      <c r="X45" s="108"/>
      <c r="AA45" s="101"/>
    </row>
    <row r="46" spans="2:27" ht="15.95" customHeight="1" x14ac:dyDescent="0.2">
      <c r="B46" s="101"/>
      <c r="C46" s="107"/>
      <c r="D46" s="130">
        <v>41805</v>
      </c>
      <c r="E46" s="72">
        <v>0.79166666666666663</v>
      </c>
      <c r="F46" s="253" t="str">
        <f>info!$F$10</f>
        <v>Argentina</v>
      </c>
      <c r="G46" s="243"/>
      <c r="H46" s="73"/>
      <c r="I46" s="74" t="s">
        <v>3</v>
      </c>
      <c r="J46" s="73"/>
      <c r="K46" s="245"/>
      <c r="L46" s="252" t="str">
        <f>info!$F$11</f>
        <v>Bósnia</v>
      </c>
      <c r="M46" s="187" t="s">
        <v>101</v>
      </c>
      <c r="N46" s="294"/>
      <c r="O46" s="319" t="s">
        <v>38</v>
      </c>
      <c r="P46" s="319"/>
      <c r="Q46" s="319"/>
      <c r="R46" s="319"/>
      <c r="S46" s="319"/>
      <c r="T46" s="319"/>
      <c r="U46" s="319"/>
      <c r="V46" s="319"/>
      <c r="W46" s="320"/>
      <c r="X46" s="108"/>
      <c r="AA46" s="101"/>
    </row>
    <row r="47" spans="2:27" ht="15.95" customHeight="1" x14ac:dyDescent="0.2">
      <c r="B47" s="101"/>
      <c r="C47" s="107"/>
      <c r="D47" s="130">
        <v>41806</v>
      </c>
      <c r="E47" s="72">
        <v>0.66666666666666663</v>
      </c>
      <c r="F47" s="253" t="str">
        <f>info!$F$12</f>
        <v>Iran</v>
      </c>
      <c r="G47" s="243"/>
      <c r="H47" s="73"/>
      <c r="I47" s="74" t="s">
        <v>3</v>
      </c>
      <c r="J47" s="73"/>
      <c r="K47" s="245"/>
      <c r="L47" s="252" t="str">
        <f>info!$F$13</f>
        <v>Nigéria</v>
      </c>
      <c r="M47" s="187" t="s">
        <v>103</v>
      </c>
      <c r="N47" s="272"/>
      <c r="O47" s="17"/>
      <c r="P47" s="119" t="s">
        <v>6</v>
      </c>
      <c r="Q47" s="119" t="s">
        <v>7</v>
      </c>
      <c r="R47" s="119" t="s">
        <v>8</v>
      </c>
      <c r="S47" s="119" t="s">
        <v>9</v>
      </c>
      <c r="T47" s="119" t="s">
        <v>10</v>
      </c>
      <c r="U47" s="119" t="s">
        <v>11</v>
      </c>
      <c r="V47" s="119" t="s">
        <v>12</v>
      </c>
      <c r="W47" s="231" t="s">
        <v>13</v>
      </c>
      <c r="X47" s="108"/>
      <c r="AA47" s="101"/>
    </row>
    <row r="48" spans="2:27" ht="15.95" customHeight="1" x14ac:dyDescent="0.2">
      <c r="B48" s="101"/>
      <c r="C48" s="107"/>
      <c r="D48" s="130">
        <v>41811</v>
      </c>
      <c r="E48" s="72">
        <v>0.54166666666666663</v>
      </c>
      <c r="F48" s="253" t="str">
        <f>info!$F$10</f>
        <v>Argentina</v>
      </c>
      <c r="G48" s="243"/>
      <c r="H48" s="73"/>
      <c r="I48" s="74" t="s">
        <v>3</v>
      </c>
      <c r="J48" s="73"/>
      <c r="K48" s="245"/>
      <c r="L48" s="252" t="str">
        <f>info!$F$12</f>
        <v>Iran</v>
      </c>
      <c r="M48" s="187" t="s">
        <v>105</v>
      </c>
      <c r="N48" s="272" t="str">
        <f>IF(Q48&gt;0,1,"")</f>
        <v/>
      </c>
      <c r="O48" s="295" t="str">
        <f>IF(O2="www.guiadecompra.com",Jogo!AN45,"erro")</f>
        <v>Argentina</v>
      </c>
      <c r="P48" s="18">
        <f>IF(B5I=Tabela!O2,VLOOKUP(O48,Jogo!$A$45:$I$48,2,FALSE),0)</f>
        <v>0</v>
      </c>
      <c r="Q48" s="19">
        <f>IF(D5I=Tabela!O3,VLOOKUP(O48,Jogo!$A$45:$I$48,3,FALSE),0)</f>
        <v>0</v>
      </c>
      <c r="R48" s="19">
        <f>VLOOKUP(O48,Jogo!$A$45:$I$48,4,FALSE)</f>
        <v>0</v>
      </c>
      <c r="S48" s="19">
        <f>VLOOKUP(O48,Jogo!$A$45:$I$48,5,FALSE)</f>
        <v>0</v>
      </c>
      <c r="T48" s="19">
        <f>VLOOKUP(O48,Jogo!$A$45:$I$48,6,FALSE)</f>
        <v>0</v>
      </c>
      <c r="U48" s="19">
        <f>VLOOKUP(O48,Jogo!$A$45:$I$48,7,FALSE)</f>
        <v>0</v>
      </c>
      <c r="V48" s="19">
        <f>VLOOKUP(O48,Jogo!$A$45:$I$48,8,FALSE)</f>
        <v>0</v>
      </c>
      <c r="W48" s="232">
        <f>VLOOKUP(O48,Jogo!$A$45:$I$48,9,FALSE)</f>
        <v>0</v>
      </c>
      <c r="X48" s="108"/>
      <c r="AA48" s="101"/>
    </row>
    <row r="49" spans="2:27" ht="15.95" customHeight="1" x14ac:dyDescent="0.2">
      <c r="B49" s="101"/>
      <c r="C49" s="107"/>
      <c r="D49" s="130">
        <v>41811</v>
      </c>
      <c r="E49" s="72">
        <v>0.79166666666666663</v>
      </c>
      <c r="F49" s="253" t="str">
        <f>info!$F$11</f>
        <v>Bósnia</v>
      </c>
      <c r="G49" s="243"/>
      <c r="H49" s="73"/>
      <c r="I49" s="74" t="s">
        <v>3</v>
      </c>
      <c r="J49" s="73"/>
      <c r="K49" s="245"/>
      <c r="L49" s="252" t="str">
        <f>info!$F$13</f>
        <v>Nigéria</v>
      </c>
      <c r="M49" s="187" t="s">
        <v>100</v>
      </c>
      <c r="N49" s="272" t="str">
        <f>IF(Q49&gt;0,2,"")</f>
        <v/>
      </c>
      <c r="O49" s="295" t="str">
        <f>IF(O2="www.guiadecompra.com",Jogo!AN46,"erro")</f>
        <v>Bósnia</v>
      </c>
      <c r="P49" s="18">
        <f>IF(B5I=Tabela!O2,VLOOKUP(O49,Jogo!$A$45:$I$48,2,FALSE),0)</f>
        <v>0</v>
      </c>
      <c r="Q49" s="19">
        <f>IF(D5I=Tabela!O3,VLOOKUP(O49,Jogo!$A$45:$I$48,3,FALSE),0)</f>
        <v>0</v>
      </c>
      <c r="R49" s="19">
        <f>VLOOKUP(O49,Jogo!$A$45:$I$48,4,FALSE)</f>
        <v>0</v>
      </c>
      <c r="S49" s="19">
        <f>VLOOKUP(O49,Jogo!$A$45:$I$48,5,FALSE)</f>
        <v>0</v>
      </c>
      <c r="T49" s="19">
        <f>VLOOKUP(O49,Jogo!$A$45:$I$48,6,FALSE)</f>
        <v>0</v>
      </c>
      <c r="U49" s="19">
        <f>VLOOKUP(O49,Jogo!$A$45:$I$48,7,FALSE)</f>
        <v>0</v>
      </c>
      <c r="V49" s="19">
        <f>VLOOKUP(O49,Jogo!$A$45:$I$48,8,FALSE)</f>
        <v>0</v>
      </c>
      <c r="W49" s="232">
        <f>VLOOKUP(O49,Jogo!$A$45:$I$48,9,FALSE)</f>
        <v>0</v>
      </c>
      <c r="X49" s="108"/>
      <c r="AA49" s="101"/>
    </row>
    <row r="50" spans="2:27" ht="15.95" customHeight="1" x14ac:dyDescent="0.2">
      <c r="B50" s="101"/>
      <c r="C50" s="107"/>
      <c r="D50" s="130">
        <v>41815</v>
      </c>
      <c r="E50" s="72">
        <v>0.54166666666666663</v>
      </c>
      <c r="F50" s="253" t="str">
        <f>info!$F$10</f>
        <v>Argentina</v>
      </c>
      <c r="G50" s="243"/>
      <c r="H50" s="73"/>
      <c r="I50" s="74" t="s">
        <v>3</v>
      </c>
      <c r="J50" s="73"/>
      <c r="K50" s="245"/>
      <c r="L50" s="252" t="str">
        <f>info!$F$13</f>
        <v>Nigéria</v>
      </c>
      <c r="M50" s="187" t="s">
        <v>102</v>
      </c>
      <c r="N50" s="272" t="str">
        <f>IF(Q50&gt;0,3,"")</f>
        <v/>
      </c>
      <c r="O50" s="2" t="str">
        <f>IF(O2="www.guiadecompra.com",Jogo!AN47,"erro")</f>
        <v>Iran</v>
      </c>
      <c r="P50" s="18">
        <f>IF(B5I=Tabela!O2,VLOOKUP(O50,Jogo!$A$45:$I$48,2,FALSE),0)</f>
        <v>0</v>
      </c>
      <c r="Q50" s="19">
        <f>IF(D5I=Tabela!O3,VLOOKUP(O50,Jogo!$A$45:$I$48,3,FALSE),0)</f>
        <v>0</v>
      </c>
      <c r="R50" s="19">
        <f>VLOOKUP(O50,Jogo!$A$45:$I$48,4,FALSE)</f>
        <v>0</v>
      </c>
      <c r="S50" s="19">
        <f>VLOOKUP(O50,Jogo!$A$45:$I$48,5,FALSE)</f>
        <v>0</v>
      </c>
      <c r="T50" s="19">
        <f>VLOOKUP(O50,Jogo!$A$45:$I$48,6,FALSE)</f>
        <v>0</v>
      </c>
      <c r="U50" s="19">
        <f>VLOOKUP(O50,Jogo!$A$45:$I$48,7,FALSE)</f>
        <v>0</v>
      </c>
      <c r="V50" s="19">
        <f>VLOOKUP(O50,Jogo!$A$45:$I$48,8,FALSE)</f>
        <v>0</v>
      </c>
      <c r="W50" s="232">
        <f>VLOOKUP(O50,Jogo!$A$45:$I$48,9,FALSE)</f>
        <v>0</v>
      </c>
      <c r="X50" s="108"/>
      <c r="AA50" s="101"/>
    </row>
    <row r="51" spans="2:27" ht="15.95" customHeight="1" x14ac:dyDescent="0.2">
      <c r="B51" s="101"/>
      <c r="C51" s="107"/>
      <c r="D51" s="130">
        <v>41815</v>
      </c>
      <c r="E51" s="72">
        <v>0.54166666666666663</v>
      </c>
      <c r="F51" s="253" t="str">
        <f>info!$F$11</f>
        <v>Bósnia</v>
      </c>
      <c r="G51" s="243"/>
      <c r="H51" s="73"/>
      <c r="I51" s="74" t="s">
        <v>3</v>
      </c>
      <c r="J51" s="73"/>
      <c r="K51" s="245"/>
      <c r="L51" s="252" t="str">
        <f>info!$F$12</f>
        <v>Iran</v>
      </c>
      <c r="M51" s="187" t="s">
        <v>99</v>
      </c>
      <c r="N51" s="273" t="str">
        <f>IF(Q51&gt;0,4,"")</f>
        <v/>
      </c>
      <c r="O51" s="233" t="str">
        <f>IF(O2="www.guiadecompra.com",Jogo!AN48,"erro")</f>
        <v>Nigéria</v>
      </c>
      <c r="P51" s="234">
        <f>IF(B5I=Tabela!O2,VLOOKUP(O51,Jogo!$A$45:$I$48,2,FALSE),0)</f>
        <v>0</v>
      </c>
      <c r="Q51" s="235">
        <f>IF(D5I=Tabela!O3,VLOOKUP(O51,Jogo!$A$45:$I$48,3,FALSE),0)</f>
        <v>0</v>
      </c>
      <c r="R51" s="235">
        <f>VLOOKUP(O51,Jogo!$A$45:$I$48,4,FALSE)</f>
        <v>0</v>
      </c>
      <c r="S51" s="235">
        <f>VLOOKUP(O51,Jogo!$A$45:$I$48,5,FALSE)</f>
        <v>0</v>
      </c>
      <c r="T51" s="235">
        <f>VLOOKUP(O51,Jogo!$A$45:$I$48,6,FALSE)</f>
        <v>0</v>
      </c>
      <c r="U51" s="235">
        <f>VLOOKUP(O51,Jogo!$A$45:$I$48,7,FALSE)</f>
        <v>0</v>
      </c>
      <c r="V51" s="235">
        <f>VLOOKUP(O51,Jogo!$A$45:$I$48,8,FALSE)</f>
        <v>0</v>
      </c>
      <c r="W51" s="236">
        <f>VLOOKUP(O51,Jogo!$A$45:$I$48,9,FALSE)</f>
        <v>0</v>
      </c>
      <c r="X51" s="108"/>
      <c r="AA51" s="101"/>
    </row>
    <row r="52" spans="2:27" ht="15.95" customHeight="1" x14ac:dyDescent="0.2">
      <c r="B52" s="101"/>
      <c r="C52" s="107"/>
      <c r="D52" s="20"/>
      <c r="E52" s="21"/>
      <c r="F52" s="22"/>
      <c r="G52" s="23"/>
      <c r="H52" s="24"/>
      <c r="I52" s="24"/>
      <c r="J52" s="24"/>
      <c r="K52" s="24"/>
      <c r="L52" s="2"/>
      <c r="M52" s="25"/>
      <c r="N52" s="279"/>
      <c r="P52" s="22"/>
      <c r="Q52" s="22"/>
      <c r="R52" s="22"/>
      <c r="S52" s="22"/>
      <c r="T52" s="22"/>
      <c r="U52" s="22"/>
      <c r="V52" s="22"/>
      <c r="W52" s="22"/>
      <c r="X52" s="108"/>
      <c r="AA52" s="101"/>
    </row>
    <row r="53" spans="2:27" ht="15.95" customHeight="1" x14ac:dyDescent="0.2">
      <c r="B53" s="101"/>
      <c r="C53" s="107"/>
      <c r="D53" s="322" t="s">
        <v>39</v>
      </c>
      <c r="E53" s="322"/>
      <c r="F53" s="322"/>
      <c r="G53" s="75"/>
      <c r="H53" s="308"/>
      <c r="I53" s="308"/>
      <c r="J53" s="308"/>
      <c r="K53" s="75"/>
      <c r="L53" s="76"/>
      <c r="M53" s="77"/>
      <c r="N53" s="282"/>
      <c r="O53" s="76"/>
      <c r="P53" s="75"/>
      <c r="Q53" s="75"/>
      <c r="R53" s="75"/>
      <c r="S53" s="75"/>
      <c r="T53" s="78"/>
      <c r="U53" s="78"/>
      <c r="V53" s="78"/>
      <c r="W53" s="78"/>
      <c r="X53" s="108"/>
      <c r="AA53" s="101"/>
    </row>
    <row r="54" spans="2:27" ht="15.95" customHeight="1" x14ac:dyDescent="0.2">
      <c r="B54" s="101"/>
      <c r="C54" s="107"/>
      <c r="D54" s="131">
        <v>41806</v>
      </c>
      <c r="E54" s="79">
        <v>0.54166666666666663</v>
      </c>
      <c r="F54" s="248" t="str">
        <f>info!$I$10</f>
        <v>Alemanha</v>
      </c>
      <c r="G54" s="246"/>
      <c r="H54" s="80"/>
      <c r="I54" s="81" t="s">
        <v>3</v>
      </c>
      <c r="J54" s="80"/>
      <c r="K54" s="249"/>
      <c r="L54" s="247" t="str">
        <f>info!$I$11</f>
        <v>Portugal</v>
      </c>
      <c r="M54" s="188" t="s">
        <v>99</v>
      </c>
      <c r="N54" s="283"/>
      <c r="O54" s="334" t="s">
        <v>40</v>
      </c>
      <c r="P54" s="334"/>
      <c r="Q54" s="334"/>
      <c r="R54" s="334"/>
      <c r="S54" s="334"/>
      <c r="T54" s="334"/>
      <c r="U54" s="334"/>
      <c r="V54" s="334"/>
      <c r="W54" s="335"/>
      <c r="X54" s="108"/>
      <c r="AA54" s="101"/>
    </row>
    <row r="55" spans="2:27" ht="15.95" customHeight="1" x14ac:dyDescent="0.2">
      <c r="B55" s="101"/>
      <c r="C55" s="107"/>
      <c r="D55" s="131">
        <v>41806</v>
      </c>
      <c r="E55" s="79">
        <v>0.79166666666666663</v>
      </c>
      <c r="F55" s="248" t="str">
        <f>info!$I$12</f>
        <v>Gana</v>
      </c>
      <c r="G55" s="246"/>
      <c r="H55" s="80"/>
      <c r="I55" s="81" t="s">
        <v>3</v>
      </c>
      <c r="J55" s="80"/>
      <c r="K55" s="249"/>
      <c r="L55" s="247" t="str">
        <f>info!$I$13</f>
        <v>Estados Unidos</v>
      </c>
      <c r="M55" s="188" t="s">
        <v>94</v>
      </c>
      <c r="N55" s="284"/>
      <c r="O55" s="17"/>
      <c r="P55" s="218" t="s">
        <v>6</v>
      </c>
      <c r="Q55" s="218" t="s">
        <v>7</v>
      </c>
      <c r="R55" s="218" t="s">
        <v>8</v>
      </c>
      <c r="S55" s="218" t="s">
        <v>9</v>
      </c>
      <c r="T55" s="218" t="s">
        <v>10</v>
      </c>
      <c r="U55" s="218" t="s">
        <v>11</v>
      </c>
      <c r="V55" s="218" t="s">
        <v>12</v>
      </c>
      <c r="W55" s="219" t="s">
        <v>13</v>
      </c>
      <c r="X55" s="108"/>
      <c r="AA55" s="101"/>
    </row>
    <row r="56" spans="2:27" ht="15.95" customHeight="1" x14ac:dyDescent="0.2">
      <c r="B56" s="101"/>
      <c r="C56" s="107"/>
      <c r="D56" s="131">
        <v>41811</v>
      </c>
      <c r="E56" s="79">
        <v>0.66666666666666663</v>
      </c>
      <c r="F56" s="248" t="str">
        <f>info!$I$10</f>
        <v>Alemanha</v>
      </c>
      <c r="G56" s="246"/>
      <c r="H56" s="80"/>
      <c r="I56" s="81" t="s">
        <v>3</v>
      </c>
      <c r="J56" s="80"/>
      <c r="K56" s="249"/>
      <c r="L56" s="247" t="str">
        <f>info!$I$12</f>
        <v>Gana</v>
      </c>
      <c r="M56" s="188" t="s">
        <v>95</v>
      </c>
      <c r="N56" s="284" t="str">
        <f>IF(Q56&gt;0,1,"")</f>
        <v/>
      </c>
      <c r="O56" s="295" t="str">
        <f>IF(O2="www.guiadecompra.com",Jogo!AN53,"erro")</f>
        <v>Alemanha</v>
      </c>
      <c r="P56" s="18">
        <f>IF(B5I=Tabela!O2,VLOOKUP(O56,Jogo!$A$53:$I$56,2,FALSE),0)</f>
        <v>0</v>
      </c>
      <c r="Q56" s="19">
        <f>IF(D5I=Tabela!O3,VLOOKUP(O56,Jogo!$A$53:$I$56,3,FALSE),0)</f>
        <v>0</v>
      </c>
      <c r="R56" s="19">
        <f>VLOOKUP(O56,Jogo!$A$53:$I$56,4,FALSE)</f>
        <v>0</v>
      </c>
      <c r="S56" s="19">
        <f>VLOOKUP(O56,Jogo!$A$53:$I$56,5,FALSE)</f>
        <v>0</v>
      </c>
      <c r="T56" s="19">
        <f>VLOOKUP(O56,Jogo!$A$53:$I$56,6,FALSE)</f>
        <v>0</v>
      </c>
      <c r="U56" s="19">
        <f>VLOOKUP(O56,Jogo!$A$53:$I$56,7,FALSE)</f>
        <v>0</v>
      </c>
      <c r="V56" s="19">
        <f>VLOOKUP(O56,Jogo!$A$53:$I$56,8,FALSE)</f>
        <v>0</v>
      </c>
      <c r="W56" s="220">
        <f>VLOOKUP(O56,Jogo!$A$53:$I$56,9,FALSE)</f>
        <v>0</v>
      </c>
      <c r="X56" s="108"/>
      <c r="AA56" s="101"/>
    </row>
    <row r="57" spans="2:27" ht="15.95" customHeight="1" x14ac:dyDescent="0.2">
      <c r="B57" s="101"/>
      <c r="C57" s="107"/>
      <c r="D57" s="131">
        <v>41812</v>
      </c>
      <c r="E57" s="79">
        <v>0.66666666666666663</v>
      </c>
      <c r="F57" s="248" t="str">
        <f>info!$I$11</f>
        <v>Portugal</v>
      </c>
      <c r="G57" s="246"/>
      <c r="H57" s="80"/>
      <c r="I57" s="81" t="s">
        <v>3</v>
      </c>
      <c r="J57" s="80"/>
      <c r="K57" s="249"/>
      <c r="L57" s="247" t="str">
        <f>info!$I$13</f>
        <v>Estados Unidos</v>
      </c>
      <c r="M57" s="188" t="s">
        <v>96</v>
      </c>
      <c r="N57" s="284" t="str">
        <f>IF(Q57&gt;0,2,"")</f>
        <v/>
      </c>
      <c r="O57" s="295" t="str">
        <f>IF(O2="www.guiadecompra.com",Jogo!AN54,"erro")</f>
        <v>Portugal</v>
      </c>
      <c r="P57" s="18">
        <f>IF(B5I=Tabela!O2,VLOOKUP(O57,Jogo!$A$53:$I$56,2,FALSE),0)</f>
        <v>0</v>
      </c>
      <c r="Q57" s="19">
        <f>IF(D5I=Tabela!O3,VLOOKUP(O57,Jogo!$A$53:$I$56,3,FALSE),0)</f>
        <v>0</v>
      </c>
      <c r="R57" s="19">
        <f>VLOOKUP(O57,Jogo!$A$53:$I$56,4,FALSE)</f>
        <v>0</v>
      </c>
      <c r="S57" s="19">
        <f>VLOOKUP(O57,Jogo!$A$53:$I$56,5,FALSE)</f>
        <v>0</v>
      </c>
      <c r="T57" s="19">
        <f>VLOOKUP(O57,Jogo!$A$53:$I$56,6,FALSE)</f>
        <v>0</v>
      </c>
      <c r="U57" s="19">
        <f>VLOOKUP(O57,Jogo!$A$53:$I$56,7,FALSE)</f>
        <v>0</v>
      </c>
      <c r="V57" s="19">
        <f>VLOOKUP(O57,Jogo!$A$53:$I$56,8,FALSE)</f>
        <v>0</v>
      </c>
      <c r="W57" s="220">
        <f>VLOOKUP(O57,Jogo!$A$53:$I$56,9,FALSE)</f>
        <v>0</v>
      </c>
      <c r="X57" s="108"/>
      <c r="AA57" s="101"/>
    </row>
    <row r="58" spans="2:27" ht="15.95" customHeight="1" x14ac:dyDescent="0.2">
      <c r="B58" s="101"/>
      <c r="C58" s="107"/>
      <c r="D58" s="131">
        <v>41816</v>
      </c>
      <c r="E58" s="79">
        <v>0.54166666666666663</v>
      </c>
      <c r="F58" s="248" t="str">
        <f>info!$I$10</f>
        <v>Alemanha</v>
      </c>
      <c r="G58" s="246"/>
      <c r="H58" s="80"/>
      <c r="I58" s="81" t="s">
        <v>3</v>
      </c>
      <c r="J58" s="80"/>
      <c r="K58" s="249"/>
      <c r="L58" s="247" t="str">
        <f>info!$I$13</f>
        <v>Estados Unidos</v>
      </c>
      <c r="M58" s="188" t="s">
        <v>98</v>
      </c>
      <c r="N58" s="284" t="str">
        <f>IF(Q58&gt;0,3,"")</f>
        <v/>
      </c>
      <c r="O58" s="2" t="str">
        <f>IF(O2="www.guiadecompra.com",Jogo!AN55,"erro")</f>
        <v>Gana</v>
      </c>
      <c r="P58" s="18">
        <f>IF(B5I=Tabela!O2,VLOOKUP(O58,Jogo!$A$53:$I$56,2,FALSE),0)</f>
        <v>0</v>
      </c>
      <c r="Q58" s="19">
        <f>IF(D5I=Tabela!O3,VLOOKUP(O58,Jogo!$A$53:$I$56,3,FALSE),0)</f>
        <v>0</v>
      </c>
      <c r="R58" s="19">
        <f>VLOOKUP(O58,Jogo!$A$53:$I$56,4,FALSE)</f>
        <v>0</v>
      </c>
      <c r="S58" s="19">
        <f>VLOOKUP(O58,Jogo!$A$53:$I$56,5,FALSE)</f>
        <v>0</v>
      </c>
      <c r="T58" s="19">
        <f>VLOOKUP(O58,Jogo!$A$53:$I$56,6,FALSE)</f>
        <v>0</v>
      </c>
      <c r="U58" s="19">
        <f>VLOOKUP(O58,Jogo!$A$53:$I$56,7,FALSE)</f>
        <v>0</v>
      </c>
      <c r="V58" s="19">
        <f>VLOOKUP(O58,Jogo!$A$53:$I$56,8,FALSE)</f>
        <v>0</v>
      </c>
      <c r="W58" s="220">
        <f>VLOOKUP(O58,Jogo!$A$53:$I$56,9,FALSE)</f>
        <v>0</v>
      </c>
      <c r="X58" s="108"/>
      <c r="AA58" s="101"/>
    </row>
    <row r="59" spans="2:27" ht="15.95" customHeight="1" x14ac:dyDescent="0.2">
      <c r="B59" s="101"/>
      <c r="C59" s="107"/>
      <c r="D59" s="131">
        <v>41816</v>
      </c>
      <c r="E59" s="79">
        <v>0.54166666666666663</v>
      </c>
      <c r="F59" s="248" t="str">
        <f>info!$I$11</f>
        <v>Portugal</v>
      </c>
      <c r="G59" s="246"/>
      <c r="H59" s="80"/>
      <c r="I59" s="81" t="s">
        <v>3</v>
      </c>
      <c r="J59" s="80"/>
      <c r="K59" s="249"/>
      <c r="L59" s="247" t="str">
        <f>info!$I$12</f>
        <v>Gana</v>
      </c>
      <c r="M59" s="188" t="s">
        <v>97</v>
      </c>
      <c r="N59" s="285" t="str">
        <f>IF(Q59&gt;0,4,"")</f>
        <v/>
      </c>
      <c r="O59" s="217" t="str">
        <f>IF(O2="www.guiadecompra.com",Jogo!AN56,"erro")</f>
        <v>Estados Unidos</v>
      </c>
      <c r="P59" s="221">
        <f>IF(B5I=Tabela!O2,VLOOKUP(O59,Jogo!$A$53:$I$56,2,FALSE),0)</f>
        <v>0</v>
      </c>
      <c r="Q59" s="222">
        <f>IF(D5I=Tabela!O3,VLOOKUP(O59,Jogo!$A$53:$I$56,3,FALSE),0)</f>
        <v>0</v>
      </c>
      <c r="R59" s="222">
        <f>VLOOKUP(O59,Jogo!$A$53:$I$56,4,FALSE)</f>
        <v>0</v>
      </c>
      <c r="S59" s="222">
        <f>VLOOKUP(O59,Jogo!$A$53:$I$56,5,FALSE)</f>
        <v>0</v>
      </c>
      <c r="T59" s="222">
        <f>VLOOKUP(O59,Jogo!$A$53:$I$56,6,FALSE)</f>
        <v>0</v>
      </c>
      <c r="U59" s="222">
        <f>VLOOKUP(O59,Jogo!$A$53:$I$56,7,FALSE)</f>
        <v>0</v>
      </c>
      <c r="V59" s="222">
        <f>VLOOKUP(O59,Jogo!$A$53:$I$56,8,FALSE)</f>
        <v>0</v>
      </c>
      <c r="W59" s="223">
        <f>VLOOKUP(O59,Jogo!$A$53:$I$56,9,FALSE)</f>
        <v>0</v>
      </c>
      <c r="X59" s="108"/>
      <c r="AA59" s="101"/>
    </row>
    <row r="60" spans="2:27" ht="15.95" customHeight="1" x14ac:dyDescent="0.2">
      <c r="B60" s="101"/>
      <c r="C60" s="107"/>
      <c r="D60" s="20"/>
      <c r="E60" s="21"/>
      <c r="F60" s="22"/>
      <c r="G60" s="23"/>
      <c r="H60" s="24"/>
      <c r="I60" s="24"/>
      <c r="J60" s="24"/>
      <c r="K60" s="24"/>
      <c r="L60" s="2"/>
      <c r="M60" s="25"/>
      <c r="N60" s="279"/>
      <c r="P60" s="22"/>
      <c r="Q60" s="22"/>
      <c r="R60" s="22"/>
      <c r="S60" s="22"/>
      <c r="T60" s="22"/>
      <c r="U60" s="22"/>
      <c r="V60" s="22"/>
      <c r="W60" s="22"/>
      <c r="X60" s="108"/>
      <c r="AA60" s="101"/>
    </row>
    <row r="61" spans="2:27" ht="15.95" customHeight="1" x14ac:dyDescent="0.2">
      <c r="B61" s="101"/>
      <c r="C61" s="107"/>
      <c r="D61" s="321" t="s">
        <v>41</v>
      </c>
      <c r="E61" s="321"/>
      <c r="F61" s="321"/>
      <c r="G61" s="82"/>
      <c r="H61" s="313"/>
      <c r="I61" s="313"/>
      <c r="J61" s="313"/>
      <c r="K61" s="82"/>
      <c r="L61" s="83"/>
      <c r="M61" s="84"/>
      <c r="N61" s="286"/>
      <c r="O61" s="83"/>
      <c r="P61" s="82"/>
      <c r="Q61" s="82"/>
      <c r="R61" s="82"/>
      <c r="S61" s="82"/>
      <c r="T61" s="85"/>
      <c r="U61" s="86"/>
      <c r="V61" s="86"/>
      <c r="W61" s="86"/>
      <c r="X61" s="108"/>
      <c r="AA61" s="101"/>
    </row>
    <row r="62" spans="2:27" ht="15.95" customHeight="1" x14ac:dyDescent="0.2">
      <c r="B62" s="101"/>
      <c r="C62" s="107"/>
      <c r="D62" s="132">
        <v>41807</v>
      </c>
      <c r="E62" s="87">
        <v>0.54166666666666663</v>
      </c>
      <c r="F62" s="256" t="str">
        <f>info!$L$10</f>
        <v>Bélgica</v>
      </c>
      <c r="G62" s="254"/>
      <c r="H62" s="88"/>
      <c r="I62" s="89" t="s">
        <v>3</v>
      </c>
      <c r="J62" s="88"/>
      <c r="K62" s="257"/>
      <c r="L62" s="255" t="str">
        <f>info!$L$11</f>
        <v>Argélia</v>
      </c>
      <c r="M62" s="189" t="s">
        <v>105</v>
      </c>
      <c r="N62" s="287"/>
      <c r="O62" s="311" t="s">
        <v>61</v>
      </c>
      <c r="P62" s="311"/>
      <c r="Q62" s="311"/>
      <c r="R62" s="311"/>
      <c r="S62" s="311"/>
      <c r="T62" s="311"/>
      <c r="U62" s="311"/>
      <c r="V62" s="311"/>
      <c r="W62" s="312"/>
      <c r="X62" s="108"/>
      <c r="AA62" s="101"/>
    </row>
    <row r="63" spans="2:27" ht="15.95" customHeight="1" x14ac:dyDescent="0.2">
      <c r="B63" s="101"/>
      <c r="C63" s="107"/>
      <c r="D63" s="132">
        <v>41807</v>
      </c>
      <c r="E63" s="87">
        <v>0.79166666666666663</v>
      </c>
      <c r="F63" s="256" t="str">
        <f>info!$L$12</f>
        <v>Rússia</v>
      </c>
      <c r="G63" s="254"/>
      <c r="H63" s="88"/>
      <c r="I63" s="89" t="s">
        <v>3</v>
      </c>
      <c r="J63" s="88"/>
      <c r="K63" s="257"/>
      <c r="L63" s="255" t="str">
        <f>info!$L$13</f>
        <v>Coreia do Sul</v>
      </c>
      <c r="M63" s="189" t="s">
        <v>100</v>
      </c>
      <c r="N63" s="288"/>
      <c r="O63" s="17"/>
      <c r="P63" s="225" t="s">
        <v>6</v>
      </c>
      <c r="Q63" s="225" t="s">
        <v>7</v>
      </c>
      <c r="R63" s="225" t="s">
        <v>8</v>
      </c>
      <c r="S63" s="225" t="s">
        <v>9</v>
      </c>
      <c r="T63" s="225" t="s">
        <v>10</v>
      </c>
      <c r="U63" s="225" t="s">
        <v>11</v>
      </c>
      <c r="V63" s="225" t="s">
        <v>12</v>
      </c>
      <c r="W63" s="226" t="s">
        <v>13</v>
      </c>
      <c r="X63" s="108"/>
      <c r="AA63" s="101"/>
    </row>
    <row r="64" spans="2:27" ht="15.95" customHeight="1" x14ac:dyDescent="0.2">
      <c r="B64" s="101"/>
      <c r="C64" s="107"/>
      <c r="D64" s="132">
        <v>41812</v>
      </c>
      <c r="E64" s="87">
        <v>0.79166666666666663</v>
      </c>
      <c r="F64" s="256" t="str">
        <f>info!$L$10</f>
        <v>Bélgica</v>
      </c>
      <c r="G64" s="254"/>
      <c r="H64" s="88"/>
      <c r="I64" s="89" t="s">
        <v>3</v>
      </c>
      <c r="J64" s="88"/>
      <c r="K64" s="257"/>
      <c r="L64" s="255" t="str">
        <f>info!$L$12</f>
        <v>Rússia</v>
      </c>
      <c r="M64" s="189" t="s">
        <v>101</v>
      </c>
      <c r="N64" s="288" t="str">
        <f>IF(Q64&gt;0,1,"")</f>
        <v/>
      </c>
      <c r="O64" s="295" t="str">
        <f>IF(O2="www.guiadecompra.com",Jogo!AN61,"erro")</f>
        <v>Bélgica</v>
      </c>
      <c r="P64" s="18">
        <f>IF(B5I=Tabela!O2,VLOOKUP(O64,Jogo!$A$61:$I$64,2,FALSE),0)</f>
        <v>0</v>
      </c>
      <c r="Q64" s="19">
        <f>IF(D5I=Tabela!O3,VLOOKUP(O64,Jogo!$A$61:$I$64,3,FALSE),0)</f>
        <v>0</v>
      </c>
      <c r="R64" s="19">
        <f>VLOOKUP(O64,Jogo!$A$61:$I$64,4,FALSE)</f>
        <v>0</v>
      </c>
      <c r="S64" s="19">
        <f>VLOOKUP(O64,Jogo!$A$61:$I$64,5,FALSE)</f>
        <v>0</v>
      </c>
      <c r="T64" s="19">
        <f>VLOOKUP(O64,Jogo!$A$61:$I$64,6,FALSE)</f>
        <v>0</v>
      </c>
      <c r="U64" s="19">
        <f>VLOOKUP(O64,Jogo!$A$61:$I$64,7,FALSE)</f>
        <v>0</v>
      </c>
      <c r="V64" s="19">
        <f>VLOOKUP(O64,Jogo!$A$61:$I$64,8,FALSE)</f>
        <v>0</v>
      </c>
      <c r="W64" s="227">
        <f>VLOOKUP(O64,Jogo!$A$61:$I$64,9,FALSE)</f>
        <v>0</v>
      </c>
      <c r="X64" s="108"/>
      <c r="AA64" s="101"/>
    </row>
    <row r="65" spans="2:27" ht="15.95" customHeight="1" x14ac:dyDescent="0.2">
      <c r="B65" s="101"/>
      <c r="C65" s="107"/>
      <c r="D65" s="132">
        <v>41812</v>
      </c>
      <c r="E65" s="87">
        <v>0.54166666666666663</v>
      </c>
      <c r="F65" s="256" t="str">
        <f>info!$L$11</f>
        <v>Argélia</v>
      </c>
      <c r="G65" s="254"/>
      <c r="H65" s="88"/>
      <c r="I65" s="89" t="s">
        <v>3</v>
      </c>
      <c r="J65" s="88"/>
      <c r="K65" s="257"/>
      <c r="L65" s="255" t="str">
        <f>info!$L$13</f>
        <v>Coreia do Sul</v>
      </c>
      <c r="M65" s="189" t="s">
        <v>102</v>
      </c>
      <c r="N65" s="288" t="str">
        <f>IF(Q65&gt;0,2,"")</f>
        <v/>
      </c>
      <c r="O65" s="295" t="str">
        <f>IF(O2="www.guiadecompra.com",Jogo!AN62,"erro")</f>
        <v>Argélia</v>
      </c>
      <c r="P65" s="18">
        <f>IF(B5I=Tabela!O2,VLOOKUP(O65,Jogo!$A$61:$I$64,2,FALSE),0)</f>
        <v>0</v>
      </c>
      <c r="Q65" s="19">
        <f>IF(D5I=Tabela!O3,VLOOKUP(O65,Jogo!$A$61:$I$64,3,FALSE),0)</f>
        <v>0</v>
      </c>
      <c r="R65" s="19">
        <f>VLOOKUP(O65,Jogo!$A$61:$I$64,4,FALSE)</f>
        <v>0</v>
      </c>
      <c r="S65" s="19">
        <f>VLOOKUP(O65,Jogo!$A$61:$I$64,5,FALSE)</f>
        <v>0</v>
      </c>
      <c r="T65" s="19">
        <f>VLOOKUP(O65,Jogo!$A$61:$I$64,6,FALSE)</f>
        <v>0</v>
      </c>
      <c r="U65" s="19">
        <f>VLOOKUP(O65,Jogo!$A$61:$I$64,7,FALSE)</f>
        <v>0</v>
      </c>
      <c r="V65" s="19">
        <f>VLOOKUP(O65,Jogo!$A$61:$I$64,8,FALSE)</f>
        <v>0</v>
      </c>
      <c r="W65" s="227">
        <f>VLOOKUP(O65,Jogo!$A$61:$I$64,9,FALSE)</f>
        <v>0</v>
      </c>
      <c r="X65" s="108"/>
      <c r="AA65" s="101"/>
    </row>
    <row r="66" spans="2:27" ht="15.95" customHeight="1" x14ac:dyDescent="0.2">
      <c r="B66" s="101"/>
      <c r="C66" s="107"/>
      <c r="D66" s="132">
        <v>41816</v>
      </c>
      <c r="E66" s="87">
        <v>0.70833333333333337</v>
      </c>
      <c r="F66" s="256" t="str">
        <f>info!$L$10</f>
        <v>Bélgica</v>
      </c>
      <c r="G66" s="254"/>
      <c r="H66" s="88"/>
      <c r="I66" s="89" t="s">
        <v>3</v>
      </c>
      <c r="J66" s="88"/>
      <c r="K66" s="257"/>
      <c r="L66" s="255" t="str">
        <f>info!$L$13</f>
        <v>Coreia do Sul</v>
      </c>
      <c r="M66" s="189" t="s">
        <v>93</v>
      </c>
      <c r="N66" s="288" t="str">
        <f>IF(Q66&gt;0,3,"")</f>
        <v/>
      </c>
      <c r="O66" s="2" t="str">
        <f>IF(O2="www.guiadecompra.com",Jogo!AN63,"erro")</f>
        <v>Rússia</v>
      </c>
      <c r="P66" s="18">
        <f>IF(B5I=Tabela!O2,VLOOKUP(O66,Jogo!$A$61:$I$64,2,FALSE),0)</f>
        <v>0</v>
      </c>
      <c r="Q66" s="19">
        <f>IF(D5I=Tabela!O3,VLOOKUP(O66,Jogo!$A$61:$I$64,3,FALSE),0)</f>
        <v>0</v>
      </c>
      <c r="R66" s="19">
        <f>VLOOKUP(O66,Jogo!$A$61:$I$64,4,FALSE)</f>
        <v>0</v>
      </c>
      <c r="S66" s="19">
        <f>VLOOKUP(O66,Jogo!$A$61:$I$64,5,FALSE)</f>
        <v>0</v>
      </c>
      <c r="T66" s="19">
        <f>VLOOKUP(O66,Jogo!$A$61:$I$64,6,FALSE)</f>
        <v>0</v>
      </c>
      <c r="U66" s="19">
        <f>VLOOKUP(O66,Jogo!$A$61:$I$64,7,FALSE)</f>
        <v>0</v>
      </c>
      <c r="V66" s="19">
        <f>VLOOKUP(O66,Jogo!$A$61:$I$64,8,FALSE)</f>
        <v>0</v>
      </c>
      <c r="W66" s="227">
        <f>VLOOKUP(O66,Jogo!$A$61:$I$64,9,FALSE)</f>
        <v>0</v>
      </c>
      <c r="X66" s="108"/>
      <c r="AA66" s="101"/>
    </row>
    <row r="67" spans="2:27" ht="15.95" customHeight="1" x14ac:dyDescent="0.2">
      <c r="B67" s="101"/>
      <c r="C67" s="107"/>
      <c r="D67" s="132">
        <v>41816</v>
      </c>
      <c r="E67" s="87">
        <v>0.70833333333333337</v>
      </c>
      <c r="F67" s="256" t="str">
        <f>info!$L$11</f>
        <v>Argélia</v>
      </c>
      <c r="G67" s="254"/>
      <c r="H67" s="88"/>
      <c r="I67" s="89" t="s">
        <v>3</v>
      </c>
      <c r="J67" s="88"/>
      <c r="K67" s="257"/>
      <c r="L67" s="255" t="str">
        <f>info!$L$12</f>
        <v>Rússia</v>
      </c>
      <c r="M67" s="189" t="s">
        <v>103</v>
      </c>
      <c r="N67" s="289" t="str">
        <f>IF(Q67&gt;0,4,"")</f>
        <v/>
      </c>
      <c r="O67" s="224" t="str">
        <f>IF(O2="www.guiadecompra.com",Jogo!AN64,"erro")</f>
        <v>Coreia do Sul</v>
      </c>
      <c r="P67" s="228">
        <f>IF(B5I=Tabela!O2,VLOOKUP(O67,Jogo!$A$61:$I$64,2,FALSE),0)</f>
        <v>0</v>
      </c>
      <c r="Q67" s="229">
        <f>IF(D5I=Tabela!O3,VLOOKUP(O67,Jogo!$A$61:$I$64,3,FALSE),0)</f>
        <v>0</v>
      </c>
      <c r="R67" s="229">
        <f>VLOOKUP(O67,Jogo!$A$61:$I$64,4,FALSE)</f>
        <v>0</v>
      </c>
      <c r="S67" s="229">
        <f>VLOOKUP(O67,Jogo!$A$61:$I$64,5,FALSE)</f>
        <v>0</v>
      </c>
      <c r="T67" s="229">
        <f>VLOOKUP(O67,Jogo!$A$61:$I$64,6,FALSE)</f>
        <v>0</v>
      </c>
      <c r="U67" s="229">
        <f>VLOOKUP(O67,Jogo!$A$61:$I$64,7,FALSE)</f>
        <v>0</v>
      </c>
      <c r="V67" s="229">
        <f>VLOOKUP(O67,Jogo!$A$61:$I$64,8,FALSE)</f>
        <v>0</v>
      </c>
      <c r="W67" s="230">
        <f>VLOOKUP(O67,Jogo!$A$61:$I$64,9,FALSE)</f>
        <v>0</v>
      </c>
      <c r="X67" s="108"/>
      <c r="AA67" s="101"/>
    </row>
    <row r="68" spans="2:27" ht="15.95" customHeight="1" x14ac:dyDescent="0.2">
      <c r="B68" s="101"/>
      <c r="C68" s="107"/>
      <c r="F68" s="2"/>
      <c r="G68" s="23"/>
      <c r="H68" s="23"/>
      <c r="I68" s="23"/>
      <c r="J68" s="23"/>
      <c r="K68" s="23"/>
      <c r="L68" s="2"/>
      <c r="M68" s="1"/>
      <c r="N68" s="2"/>
      <c r="X68" s="108"/>
      <c r="AA68" s="101"/>
    </row>
    <row r="69" spans="2:27" ht="15.95" customHeight="1" x14ac:dyDescent="0.2">
      <c r="B69" s="101"/>
      <c r="C69" s="107"/>
      <c r="F69" s="2"/>
      <c r="G69" s="23"/>
      <c r="H69" s="23"/>
      <c r="I69" s="23"/>
      <c r="J69" s="23"/>
      <c r="K69" s="23"/>
      <c r="L69" s="2"/>
      <c r="M69" s="1"/>
      <c r="N69" s="2"/>
      <c r="X69" s="108"/>
      <c r="AA69" s="101"/>
    </row>
    <row r="70" spans="2:27" ht="15.95" customHeight="1" thickBot="1" x14ac:dyDescent="0.25">
      <c r="B70" s="101"/>
      <c r="C70" s="107"/>
      <c r="D70" s="183" t="s">
        <v>42</v>
      </c>
      <c r="E70" s="141"/>
      <c r="F70" s="141"/>
      <c r="G70" s="142"/>
      <c r="H70" s="306" t="s">
        <v>43</v>
      </c>
      <c r="I70" s="306"/>
      <c r="J70" s="306"/>
      <c r="K70" s="142"/>
      <c r="L70" s="141"/>
      <c r="M70" s="143"/>
      <c r="N70" s="141"/>
      <c r="O70" s="26"/>
      <c r="P70" s="26"/>
      <c r="Q70" s="26"/>
      <c r="R70" s="26"/>
      <c r="S70" s="26"/>
      <c r="T70" s="26"/>
      <c r="U70" s="26"/>
      <c r="V70" s="26"/>
      <c r="W70" s="26"/>
      <c r="X70" s="108"/>
      <c r="Y70" s="56"/>
      <c r="AA70" s="101"/>
    </row>
    <row r="71" spans="2:27" ht="15.95" customHeight="1" thickTop="1" x14ac:dyDescent="0.2">
      <c r="B71" s="101"/>
      <c r="C71" s="107"/>
      <c r="D71" s="27">
        <v>41818</v>
      </c>
      <c r="E71" s="270">
        <v>0.54166666666666663</v>
      </c>
      <c r="F71" s="28" t="str">
        <f>IF(Q8=3,O8,"1º do grupo A")</f>
        <v>1º do grupo A</v>
      </c>
      <c r="G71" s="29"/>
      <c r="H71" s="138"/>
      <c r="I71" s="139" t="s">
        <v>3</v>
      </c>
      <c r="J71" s="140"/>
      <c r="K71" s="29"/>
      <c r="L71" s="30" t="str">
        <f>IF(Q17=3,O17,"2º do grupo B")</f>
        <v>2º do grupo B</v>
      </c>
      <c r="M71" s="190" t="s">
        <v>105</v>
      </c>
      <c r="N71" s="191">
        <v>1</v>
      </c>
      <c r="O71" s="26"/>
      <c r="P71" s="26"/>
      <c r="Q71" s="26"/>
      <c r="R71" s="26"/>
      <c r="S71" s="26"/>
      <c r="T71" s="26"/>
      <c r="U71" s="26"/>
      <c r="V71" s="26"/>
      <c r="W71" s="26"/>
      <c r="X71" s="108"/>
      <c r="AA71" s="101"/>
    </row>
    <row r="72" spans="2:27" ht="15.95" customHeight="1" x14ac:dyDescent="0.2">
      <c r="B72" s="101"/>
      <c r="C72" s="107"/>
      <c r="D72" s="27">
        <v>41818</v>
      </c>
      <c r="E72" s="270">
        <v>0.70833333333333337</v>
      </c>
      <c r="F72" s="28" t="str">
        <f>IF(Q24=3,O24,"1º do grupo C")</f>
        <v>1º do grupo C</v>
      </c>
      <c r="G72" s="29"/>
      <c r="H72" s="31"/>
      <c r="I72" s="16" t="s">
        <v>3</v>
      </c>
      <c r="J72" s="32"/>
      <c r="K72" s="29"/>
      <c r="L72" s="30" t="str">
        <f>IF(Q33=3,O33,"2º do grupo D")</f>
        <v>2º do grupo D</v>
      </c>
      <c r="M72" s="190" t="s">
        <v>101</v>
      </c>
      <c r="N72" s="191">
        <v>3</v>
      </c>
      <c r="O72" s="26"/>
      <c r="P72" s="26"/>
      <c r="Q72" s="26"/>
      <c r="R72" s="26"/>
      <c r="S72" s="26"/>
      <c r="T72" s="26"/>
      <c r="U72" s="26"/>
      <c r="V72" s="26"/>
      <c r="W72" s="26"/>
      <c r="X72" s="108"/>
      <c r="AA72" s="101"/>
    </row>
    <row r="73" spans="2:27" ht="15.95" customHeight="1" x14ac:dyDescent="0.2">
      <c r="B73" s="101"/>
      <c r="C73" s="107"/>
      <c r="D73" s="27">
        <v>41819</v>
      </c>
      <c r="E73" s="270">
        <v>0.54166666666666663</v>
      </c>
      <c r="F73" s="28" t="str">
        <f>IF(Q16=3,O16,"1º do grupo B")</f>
        <v>1º do grupo B</v>
      </c>
      <c r="G73" s="29"/>
      <c r="H73" s="31"/>
      <c r="I73" s="16" t="s">
        <v>3</v>
      </c>
      <c r="J73" s="32"/>
      <c r="K73" s="29"/>
      <c r="L73" s="30" t="str">
        <f>IF(Q9=3,O9,"2º do grupo A")</f>
        <v>2º do grupo A</v>
      </c>
      <c r="M73" s="190" t="s">
        <v>95</v>
      </c>
      <c r="N73" s="192">
        <v>2</v>
      </c>
      <c r="O73" s="26"/>
      <c r="P73" s="26"/>
      <c r="Q73" s="26"/>
      <c r="R73" s="26"/>
      <c r="S73" s="26"/>
      <c r="T73" s="26"/>
      <c r="U73" s="26"/>
      <c r="V73" s="26"/>
      <c r="W73" s="26"/>
      <c r="X73" s="108"/>
      <c r="AA73" s="101"/>
    </row>
    <row r="74" spans="2:27" ht="15.95" customHeight="1" x14ac:dyDescent="0.2">
      <c r="B74" s="101"/>
      <c r="C74" s="107"/>
      <c r="D74" s="27">
        <v>41819</v>
      </c>
      <c r="E74" s="270">
        <v>0.70833333333333337</v>
      </c>
      <c r="F74" s="28" t="str">
        <f>IF(Q32=3,O32,"1º do grupo D")</f>
        <v>1º do grupo D</v>
      </c>
      <c r="G74" s="29"/>
      <c r="H74" s="31"/>
      <c r="I74" s="16" t="s">
        <v>3</v>
      </c>
      <c r="J74" s="32"/>
      <c r="K74" s="29"/>
      <c r="L74" s="30" t="str">
        <f>IF(Q25=3,O25,"2º do grupo C")</f>
        <v>2º do grupo C</v>
      </c>
      <c r="M74" s="190" t="s">
        <v>98</v>
      </c>
      <c r="N74" s="192">
        <v>4</v>
      </c>
      <c r="O74" s="26"/>
      <c r="P74" s="26"/>
      <c r="Q74" s="26"/>
      <c r="R74" s="26"/>
      <c r="S74" s="26"/>
      <c r="T74" s="26"/>
      <c r="U74" s="26"/>
      <c r="V74" s="26"/>
      <c r="W74" s="26"/>
      <c r="X74" s="108"/>
      <c r="AA74" s="101"/>
    </row>
    <row r="75" spans="2:27" ht="15.95" customHeight="1" x14ac:dyDescent="0.2">
      <c r="B75" s="101"/>
      <c r="C75" s="107"/>
      <c r="D75" s="27">
        <v>41820</v>
      </c>
      <c r="E75" s="270">
        <v>0.54166666666666663</v>
      </c>
      <c r="F75" s="28" t="str">
        <f>IF(Q40=3,O40,"1º do grupo E")</f>
        <v>1º do grupo E</v>
      </c>
      <c r="G75" s="29"/>
      <c r="H75" s="31"/>
      <c r="I75" s="16" t="s">
        <v>3</v>
      </c>
      <c r="J75" s="32"/>
      <c r="K75" s="29"/>
      <c r="L75" s="30" t="str">
        <f>IF(Q49=3,O49,"2º do grupo F")</f>
        <v>2º do grupo F</v>
      </c>
      <c r="M75" s="190" t="s">
        <v>97</v>
      </c>
      <c r="N75" s="193">
        <v>5</v>
      </c>
      <c r="O75" s="100"/>
      <c r="P75" s="54"/>
      <c r="Q75" s="54"/>
      <c r="R75" s="54"/>
      <c r="S75" s="54"/>
      <c r="T75" s="54"/>
      <c r="U75" s="54"/>
      <c r="V75" s="100"/>
      <c r="W75" s="54"/>
      <c r="X75" s="108"/>
      <c r="AA75" s="101"/>
    </row>
    <row r="76" spans="2:27" ht="15.95" customHeight="1" x14ac:dyDescent="0.2">
      <c r="B76" s="101"/>
      <c r="C76" s="107"/>
      <c r="D76" s="27">
        <v>41820</v>
      </c>
      <c r="E76" s="270">
        <v>0.70833333333333337</v>
      </c>
      <c r="F76" s="28" t="str">
        <f>IF(Q56=3,O56,"1º do grupo G")</f>
        <v>1º do grupo G</v>
      </c>
      <c r="G76" s="29"/>
      <c r="H76" s="31"/>
      <c r="I76" s="16" t="s">
        <v>3</v>
      </c>
      <c r="J76" s="32"/>
      <c r="K76" s="29"/>
      <c r="L76" s="30" t="str">
        <f>IF(Q65=3,O65,"2º do grupo H")</f>
        <v>2º do grupo H</v>
      </c>
      <c r="M76" s="190" t="s">
        <v>102</v>
      </c>
      <c r="N76" s="193">
        <v>7</v>
      </c>
      <c r="O76" s="33"/>
      <c r="P76" s="54"/>
      <c r="Q76" s="54"/>
      <c r="R76" s="54"/>
      <c r="S76" s="54"/>
      <c r="T76" s="54"/>
      <c r="U76" s="54"/>
      <c r="V76" s="54"/>
      <c r="W76" s="54"/>
      <c r="X76" s="108"/>
      <c r="AA76" s="101"/>
    </row>
    <row r="77" spans="2:27" ht="15.95" customHeight="1" x14ac:dyDescent="0.2">
      <c r="B77" s="101"/>
      <c r="C77" s="107"/>
      <c r="D77" s="27">
        <v>41821</v>
      </c>
      <c r="E77" s="270">
        <v>0.54166666666666663</v>
      </c>
      <c r="F77" s="28" t="str">
        <f>IF(Q48=3,O48,"1º do grupo F")</f>
        <v>1º do grupo F</v>
      </c>
      <c r="G77" s="29"/>
      <c r="H77" s="31"/>
      <c r="I77" s="16" t="s">
        <v>3</v>
      </c>
      <c r="J77" s="32"/>
      <c r="K77" s="29"/>
      <c r="L77" s="30" t="str">
        <f>IF(Q41=3,O41,"2º do grupo E")</f>
        <v>2º do grupo E</v>
      </c>
      <c r="M77" s="190" t="s">
        <v>93</v>
      </c>
      <c r="N77" s="194">
        <v>6</v>
      </c>
      <c r="O77" s="336"/>
      <c r="P77" s="336"/>
      <c r="Q77" s="336"/>
      <c r="R77" s="336"/>
      <c r="S77" s="336"/>
      <c r="T77" s="336"/>
      <c r="U77" s="336"/>
      <c r="V77" s="336"/>
      <c r="W77" s="336"/>
      <c r="X77" s="108"/>
      <c r="AA77" s="101"/>
    </row>
    <row r="78" spans="2:27" ht="15.95" customHeight="1" x14ac:dyDescent="0.2">
      <c r="B78" s="101"/>
      <c r="C78" s="107"/>
      <c r="D78" s="27">
        <v>41821</v>
      </c>
      <c r="E78" s="270">
        <v>0.70833333333333337</v>
      </c>
      <c r="F78" s="28" t="str">
        <f>IF(Q64=3,O64,"1º do grupo H")</f>
        <v>1º do grupo H</v>
      </c>
      <c r="G78" s="29"/>
      <c r="H78" s="31"/>
      <c r="I78" s="16" t="s">
        <v>3</v>
      </c>
      <c r="J78" s="32"/>
      <c r="K78" s="29"/>
      <c r="L78" s="30" t="str">
        <f>IF(Q57=3,O57,"2º do grupo G")</f>
        <v>2º do grupo G</v>
      </c>
      <c r="M78" s="190" t="s">
        <v>99</v>
      </c>
      <c r="N78" s="194">
        <v>8</v>
      </c>
      <c r="O78" s="34"/>
      <c r="P78" s="337" t="s">
        <v>121</v>
      </c>
      <c r="Q78" s="337"/>
      <c r="R78" s="337"/>
      <c r="S78" s="337"/>
      <c r="T78" s="337"/>
      <c r="U78" s="337"/>
      <c r="V78" s="337"/>
      <c r="W78" s="337"/>
      <c r="X78" s="108"/>
      <c r="Y78" s="54"/>
      <c r="AA78" s="101"/>
    </row>
    <row r="79" spans="2:27" ht="15.95" customHeight="1" x14ac:dyDescent="0.2">
      <c r="B79" s="101"/>
      <c r="C79" s="107"/>
      <c r="D79" s="35"/>
      <c r="E79" s="36"/>
      <c r="F79" s="9"/>
      <c r="G79" s="37"/>
      <c r="H79" s="38"/>
      <c r="I79" s="38"/>
      <c r="J79" s="38"/>
      <c r="K79" s="38"/>
      <c r="L79" s="9"/>
      <c r="M79" s="39"/>
      <c r="N79" s="40"/>
      <c r="X79" s="108"/>
      <c r="AA79" s="101"/>
    </row>
    <row r="80" spans="2:27" ht="15.95" customHeight="1" thickBot="1" x14ac:dyDescent="0.25">
      <c r="B80" s="101"/>
      <c r="C80" s="107"/>
      <c r="D80" s="183" t="s">
        <v>44</v>
      </c>
      <c r="E80" s="141"/>
      <c r="F80" s="141"/>
      <c r="G80" s="142"/>
      <c r="H80" s="306"/>
      <c r="I80" s="306"/>
      <c r="J80" s="306"/>
      <c r="K80" s="142"/>
      <c r="L80" s="141"/>
      <c r="M80" s="143"/>
      <c r="N80" s="141"/>
      <c r="X80" s="108"/>
      <c r="AA80" s="101"/>
    </row>
    <row r="81" spans="2:27" ht="15.95" customHeight="1" thickTop="1" x14ac:dyDescent="0.2">
      <c r="B81" s="101"/>
      <c r="C81" s="107"/>
      <c r="D81" s="27">
        <v>41824</v>
      </c>
      <c r="E81" s="270">
        <v>0.70833333333333337</v>
      </c>
      <c r="F81" s="28" t="str">
        <f>IF(OR(H71="",J71="",AND(H71=J71,OR(G71="",K71=""))),"Vencedor do 49",IF(H71=J71,IF(G71&gt;K71,F71,L71),IF(H71&gt;J71,F71,L71)))</f>
        <v>Vencedor do 49</v>
      </c>
      <c r="G81" s="29"/>
      <c r="H81" s="31"/>
      <c r="I81" s="16" t="s">
        <v>3</v>
      </c>
      <c r="J81" s="32"/>
      <c r="K81" s="29"/>
      <c r="L81" s="30" t="str">
        <f>IF(OR(J72="",H72="",AND(J72=H72,OR(K72="",G72=""))),"Vencedor do 50",IF(J72=H72,IF(K72&gt;G72,L72,F72),IF(J72&gt;H72,L72,F72)))</f>
        <v>Vencedor do 50</v>
      </c>
      <c r="M81" s="190" t="s">
        <v>95</v>
      </c>
      <c r="N81" s="68" t="s">
        <v>106</v>
      </c>
      <c r="O81" s="40"/>
      <c r="P81" s="309" t="str">
        <f>IF(OR($H$94="",$J$94="",AND($H$94=$J$94,OR($G$94="",$K$94=""))),"",IF($H$94=$J$94,IF($G$94&gt;$K$94,$F$94,$L$94),IF($H$94&gt;$J$94,$F$94,$L$94)))</f>
        <v/>
      </c>
      <c r="Q81" s="309"/>
      <c r="R81" s="309"/>
      <c r="S81" s="309"/>
      <c r="T81" s="309"/>
      <c r="U81" s="309"/>
      <c r="V81" s="309"/>
      <c r="X81" s="108"/>
      <c r="AA81" s="101"/>
    </row>
    <row r="82" spans="2:27" ht="15.95" customHeight="1" x14ac:dyDescent="0.2">
      <c r="B82" s="101"/>
      <c r="C82" s="107"/>
      <c r="D82" s="27">
        <v>41824</v>
      </c>
      <c r="E82" s="270">
        <v>0.54166666666666663</v>
      </c>
      <c r="F82" s="28" t="str">
        <f>IF(OR(H75="",J75="",AND(H75=J75,OR(G75="",K75=""))),"Vencedor do 53",IF(H75=J75,IF(G75&gt;K75,F75,L75),IF(H75&gt;J75,F75,L75)))</f>
        <v>Vencedor do 53</v>
      </c>
      <c r="G82" s="29"/>
      <c r="H82" s="31"/>
      <c r="I82" s="16" t="s">
        <v>3</v>
      </c>
      <c r="J82" s="32"/>
      <c r="K82" s="29"/>
      <c r="L82" s="30" t="str">
        <f>IF(OR(J76="",H76="",AND(J76=H76,OR(K76="",G76=""))),"Vencedor do 54",IF(J76=H76,IF(K76&gt;G76,L76,F76),IF(J76&gt;H76,L76,F76)))</f>
        <v>Vencedor do 54</v>
      </c>
      <c r="M82" s="190" t="s">
        <v>101</v>
      </c>
      <c r="N82" s="195" t="s">
        <v>107</v>
      </c>
      <c r="O82" s="40"/>
      <c r="P82" s="309"/>
      <c r="Q82" s="309"/>
      <c r="R82" s="309"/>
      <c r="S82" s="309"/>
      <c r="T82" s="309"/>
      <c r="U82" s="309"/>
      <c r="V82" s="309"/>
      <c r="X82" s="108"/>
      <c r="AA82" s="101"/>
    </row>
    <row r="83" spans="2:27" ht="15.95" customHeight="1" x14ac:dyDescent="0.2">
      <c r="B83" s="101"/>
      <c r="C83" s="107"/>
      <c r="D83" s="27">
        <v>41825</v>
      </c>
      <c r="E83" s="270">
        <v>0.70833333333333337</v>
      </c>
      <c r="F83" s="28" t="str">
        <f>IF(OR(H73="",J73="",AND(H73=J73,OR(G73="",K73=""))),"Vencedor do 51",IF(H73=J73,IF(G73&gt;K73,F73,L73),IF(H73&gt;J73,F73,L73)))</f>
        <v>Vencedor do 51</v>
      </c>
      <c r="G83" s="29"/>
      <c r="H83" s="31"/>
      <c r="I83" s="16" t="s">
        <v>3</v>
      </c>
      <c r="J83" s="32"/>
      <c r="K83" s="29"/>
      <c r="L83" s="30" t="str">
        <f>IF(OR(J74="",H74="",AND(J74=H74,OR(K74="",G74=""))),"Vencedor do 52",IF(J74=H74,IF(K74&gt;G74,L74,F74),IF(J74&gt;H74,L74,F74)))</f>
        <v>Vencedor do 52</v>
      </c>
      <c r="M83" s="190" t="s">
        <v>99</v>
      </c>
      <c r="N83" s="196" t="s">
        <v>137</v>
      </c>
      <c r="O83" s="10"/>
      <c r="P83" s="310" t="str">
        <f>IF(P81="","  ","A Seleção campeã da Copa do Mundo, de 2014")</f>
        <v xml:space="preserve">  </v>
      </c>
      <c r="Q83" s="310"/>
      <c r="R83" s="310"/>
      <c r="S83" s="310"/>
      <c r="T83" s="310"/>
      <c r="U83" s="310"/>
      <c r="V83" s="310"/>
      <c r="X83" s="108"/>
      <c r="AA83" s="101"/>
    </row>
    <row r="84" spans="2:27" ht="15.95" customHeight="1" x14ac:dyDescent="0.2">
      <c r="B84" s="101"/>
      <c r="C84" s="107"/>
      <c r="D84" s="27">
        <v>41825</v>
      </c>
      <c r="E84" s="270">
        <v>0.54166666666666663</v>
      </c>
      <c r="F84" s="28" t="str">
        <f>IF(OR(H77="",J77="",AND(H77=J77,OR(G77="",K77=""))),"Vencedor do 55",IF(H77=J77,IF(G77&gt;K77,F77,L77),IF(H77&gt;J77,F77,L77)))</f>
        <v>Vencedor do 55</v>
      </c>
      <c r="G84" s="29"/>
      <c r="H84" s="31"/>
      <c r="I84" s="16" t="s">
        <v>3</v>
      </c>
      <c r="J84" s="32"/>
      <c r="K84" s="29"/>
      <c r="L84" s="30" t="str">
        <f>IF(OR(J78="",H78="",AND(J78=H78,OR(K78="",G78=""))),"Vencedor do 56",IF(J78=H78,IF(K78&gt;G78,L78,F78),IF(J78&gt;H78,L78,F78)))</f>
        <v>Vencedor do 56</v>
      </c>
      <c r="M84" s="190" t="s">
        <v>97</v>
      </c>
      <c r="N84" s="197" t="s">
        <v>10</v>
      </c>
      <c r="P84" s="310"/>
      <c r="Q84" s="310"/>
      <c r="R84" s="310"/>
      <c r="S84" s="310"/>
      <c r="T84" s="310"/>
      <c r="U84" s="310"/>
      <c r="V84" s="310"/>
      <c r="X84" s="108"/>
      <c r="AA84" s="101"/>
    </row>
    <row r="85" spans="2:27" ht="15.95" customHeight="1" x14ac:dyDescent="0.2">
      <c r="B85" s="101"/>
      <c r="C85" s="107"/>
      <c r="D85" s="35"/>
      <c r="E85" s="36"/>
      <c r="F85" s="9"/>
      <c r="G85" s="37"/>
      <c r="H85" s="24"/>
      <c r="I85" s="24"/>
      <c r="J85" s="24"/>
      <c r="K85" s="24"/>
      <c r="L85" s="9"/>
      <c r="M85" s="39"/>
      <c r="N85" s="40"/>
      <c r="P85" s="310"/>
      <c r="Q85" s="310"/>
      <c r="R85" s="310"/>
      <c r="S85" s="310"/>
      <c r="T85" s="310"/>
      <c r="U85" s="310"/>
      <c r="V85" s="310"/>
      <c r="X85" s="108"/>
      <c r="AA85" s="101"/>
    </row>
    <row r="86" spans="2:27" ht="15.95" customHeight="1" thickBot="1" x14ac:dyDescent="0.25">
      <c r="B86" s="101"/>
      <c r="C86" s="107"/>
      <c r="D86" s="183" t="s">
        <v>45</v>
      </c>
      <c r="E86" s="141"/>
      <c r="F86" s="141"/>
      <c r="G86" s="142"/>
      <c r="H86" s="306"/>
      <c r="I86" s="306"/>
      <c r="J86" s="306"/>
      <c r="K86" s="142"/>
      <c r="L86" s="141"/>
      <c r="M86" s="143"/>
      <c r="N86" s="141"/>
      <c r="P86" s="310"/>
      <c r="Q86" s="310"/>
      <c r="R86" s="310"/>
      <c r="S86" s="310"/>
      <c r="T86" s="310"/>
      <c r="U86" s="310"/>
      <c r="V86" s="310"/>
      <c r="X86" s="108"/>
      <c r="AA86" s="101"/>
    </row>
    <row r="87" spans="2:27" ht="15.95" customHeight="1" thickTop="1" x14ac:dyDescent="0.2">
      <c r="B87" s="101"/>
      <c r="C87" s="107"/>
      <c r="D87" s="27">
        <v>41828</v>
      </c>
      <c r="E87" s="270">
        <v>0.54166666666666663</v>
      </c>
      <c r="F87" s="28" t="str">
        <f>IF(OR(H81="",J81="",AND(H81=J81,OR(G81="",K81=""))),"Vencedor do 57",IF(H81=J81,IF(G81&gt;K81,F81,L81),IF(H81&gt;J81,F81,L81)))</f>
        <v>Vencedor do 57</v>
      </c>
      <c r="G87" s="29"/>
      <c r="H87" s="31"/>
      <c r="I87" s="16" t="s">
        <v>3</v>
      </c>
      <c r="J87" s="32"/>
      <c r="K87" s="29"/>
      <c r="L87" s="30" t="str">
        <f>IF(OR(J82="",H82="",AND(J82=H82,OR(K82="",G82=""))),"Vencedor do 58",IF(J82=H82,IF(K82&gt;G82,L82,F82),IF(J82&gt;H82,L82,F82)))</f>
        <v>Vencedor do 58</v>
      </c>
      <c r="M87" s="190" t="s">
        <v>105</v>
      </c>
      <c r="N87" s="198" t="s">
        <v>108</v>
      </c>
      <c r="P87" s="310"/>
      <c r="Q87" s="310"/>
      <c r="R87" s="310"/>
      <c r="S87" s="310"/>
      <c r="T87" s="310"/>
      <c r="U87" s="310"/>
      <c r="V87" s="310"/>
      <c r="X87" s="108"/>
      <c r="AA87" s="101"/>
    </row>
    <row r="88" spans="2:27" ht="15.95" customHeight="1" x14ac:dyDescent="0.2">
      <c r="B88" s="101"/>
      <c r="C88" s="107"/>
      <c r="D88" s="27">
        <v>41829</v>
      </c>
      <c r="E88" s="270">
        <v>0.70833333333333337</v>
      </c>
      <c r="F88" s="28" t="str">
        <f>IF(OR(H83="",J83="",AND(H83=J83,OR(G83="",K83=""))),"Vencedor do 59",IF(H83=J83,IF(G83&gt;K83,F83,L83),IF(H83&gt;J83,F83,L83)))</f>
        <v>Vencedor do 59</v>
      </c>
      <c r="G88" s="29"/>
      <c r="H88" s="31"/>
      <c r="I88" s="16" t="s">
        <v>3</v>
      </c>
      <c r="J88" s="32"/>
      <c r="K88" s="29"/>
      <c r="L88" s="30" t="str">
        <f>IF(OR(J84="",H84="",AND(J84=H84,OR(K84="",G84=""))),"Vencedor do 60",IF(J84=H84,IF(K84&gt;G84,L84,F84),IF(J84&gt;H84,L84,F84)))</f>
        <v>Vencedor do 60</v>
      </c>
      <c r="M88" s="190" t="s">
        <v>93</v>
      </c>
      <c r="N88" s="198" t="s">
        <v>109</v>
      </c>
      <c r="P88" s="310"/>
      <c r="Q88" s="310"/>
      <c r="R88" s="310"/>
      <c r="S88" s="310"/>
      <c r="T88" s="310"/>
      <c r="U88" s="310"/>
      <c r="V88" s="310"/>
      <c r="X88" s="108"/>
      <c r="AA88" s="101"/>
    </row>
    <row r="89" spans="2:27" ht="15.95" customHeight="1" x14ac:dyDescent="0.2">
      <c r="B89" s="101"/>
      <c r="C89" s="107"/>
      <c r="D89" s="35"/>
      <c r="E89" s="36"/>
      <c r="F89" s="10"/>
      <c r="G89" s="38"/>
      <c r="H89" s="24"/>
      <c r="I89" s="24"/>
      <c r="J89" s="24"/>
      <c r="K89" s="24"/>
      <c r="L89" s="10"/>
      <c r="M89" s="39"/>
      <c r="N89" s="40"/>
      <c r="P89" s="310"/>
      <c r="Q89" s="310"/>
      <c r="R89" s="310"/>
      <c r="S89" s="310"/>
      <c r="T89" s="310"/>
      <c r="U89" s="310"/>
      <c r="V89" s="310"/>
      <c r="X89" s="108"/>
      <c r="AA89" s="101"/>
    </row>
    <row r="90" spans="2:27" ht="15.95" customHeight="1" x14ac:dyDescent="0.2">
      <c r="B90" s="101"/>
      <c r="C90" s="107"/>
      <c r="D90" s="184" t="s">
        <v>46</v>
      </c>
      <c r="E90" s="170"/>
      <c r="F90" s="170"/>
      <c r="G90" s="171"/>
      <c r="H90" s="171"/>
      <c r="I90" s="171"/>
      <c r="J90" s="171"/>
      <c r="K90" s="171"/>
      <c r="L90" s="170"/>
      <c r="M90" s="172"/>
      <c r="N90" s="173"/>
      <c r="P90" s="310"/>
      <c r="Q90" s="310"/>
      <c r="R90" s="310"/>
      <c r="S90" s="310"/>
      <c r="T90" s="310"/>
      <c r="U90" s="310"/>
      <c r="V90" s="310"/>
      <c r="X90" s="108"/>
      <c r="AA90" s="101"/>
    </row>
    <row r="91" spans="2:27" ht="15.95" customHeight="1" x14ac:dyDescent="0.2">
      <c r="B91" s="101"/>
      <c r="C91" s="107"/>
      <c r="D91" s="27">
        <v>41832</v>
      </c>
      <c r="E91" s="270">
        <v>0.70833333333333337</v>
      </c>
      <c r="F91" s="48" t="str">
        <f>IF(OR(H87="",J87="",AND(H87=J87,OR(G87="",K87="")))," ",IF(H87=J87,IF(G87&lt;K87,F87,L87),IF(H87&lt;J87,F87,L87)))</f>
        <v xml:space="preserve"> </v>
      </c>
      <c r="G91" s="29"/>
      <c r="H91" s="168"/>
      <c r="I91" s="139" t="s">
        <v>3</v>
      </c>
      <c r="J91" s="169"/>
      <c r="K91" s="29"/>
      <c r="L91" s="9" t="str">
        <f>IF(OR(J88="",H88="",AND(J88=H88,OR(K88="",G88=""))),"    ",IF(J88=H88,IF(K88&lt;G88,L88,F88),IF(J88&lt;H88,L88,F88)))</f>
        <v xml:space="preserve">    </v>
      </c>
      <c r="M91" s="190" t="s">
        <v>97</v>
      </c>
      <c r="N91" s="199">
        <v>63</v>
      </c>
      <c r="P91" s="310"/>
      <c r="Q91" s="310"/>
      <c r="R91" s="310"/>
      <c r="S91" s="310"/>
      <c r="T91" s="310"/>
      <c r="U91" s="310"/>
      <c r="V91" s="310"/>
      <c r="X91" s="108"/>
      <c r="AA91" s="101"/>
    </row>
    <row r="92" spans="2:27" ht="15.95" customHeight="1" x14ac:dyDescent="0.2">
      <c r="B92" s="101"/>
      <c r="C92" s="107"/>
      <c r="F92" s="2"/>
      <c r="G92" s="23"/>
      <c r="H92" s="23"/>
      <c r="I92" s="23"/>
      <c r="J92" s="23"/>
      <c r="K92" s="23"/>
      <c r="L92" s="2"/>
      <c r="M92" s="1"/>
      <c r="N92" s="40"/>
      <c r="X92" s="108"/>
      <c r="AA92" s="101"/>
    </row>
    <row r="93" spans="2:27" ht="15.95" customHeight="1" x14ac:dyDescent="0.2">
      <c r="B93" s="101"/>
      <c r="C93" s="107"/>
      <c r="D93" s="179" t="s">
        <v>120</v>
      </c>
      <c r="E93" s="180"/>
      <c r="F93" s="180"/>
      <c r="G93" s="181"/>
      <c r="H93" s="181"/>
      <c r="I93" s="175"/>
      <c r="J93" s="175"/>
      <c r="K93" s="175"/>
      <c r="L93" s="176"/>
      <c r="M93" s="177"/>
      <c r="N93" s="178"/>
      <c r="X93" s="108"/>
      <c r="AA93" s="101"/>
    </row>
    <row r="94" spans="2:27" ht="15.95" customHeight="1" x14ac:dyDescent="0.2">
      <c r="B94" s="101"/>
      <c r="C94" s="107"/>
      <c r="D94" s="55">
        <v>41833</v>
      </c>
      <c r="E94" s="271">
        <v>0.66666666666666663</v>
      </c>
      <c r="F94" s="174" t="str">
        <f>IF(OR(H87="",J87="",AND(H87=J87,OR(G87="",K87=""))),"  ",IF(H87=J87,IF(G87&gt;K87,F87,L87),IF(H87&gt;J87,F87,L87)))</f>
        <v xml:space="preserve">  </v>
      </c>
      <c r="G94" s="29"/>
      <c r="H94" s="168"/>
      <c r="I94" s="139" t="s">
        <v>3</v>
      </c>
      <c r="J94" s="169"/>
      <c r="K94" s="29"/>
      <c r="L94" s="174" t="str">
        <f>IF(OR(J88="",H88="",AND(J88=H88,OR(K88="",G88=""))),"  ",IF(J88=H88,IF(K88&gt;G88,L88,F88),IF(J88&gt;H88,L88,F88)))</f>
        <v xml:space="preserve">  </v>
      </c>
      <c r="M94" s="190" t="s">
        <v>101</v>
      </c>
      <c r="N94" s="200">
        <v>64</v>
      </c>
      <c r="X94" s="108"/>
      <c r="AA94" s="101"/>
    </row>
    <row r="95" spans="2:27" ht="15.95" customHeight="1" x14ac:dyDescent="0.2">
      <c r="B95" s="101"/>
      <c r="C95" s="107"/>
      <c r="F95" s="2"/>
      <c r="L95" s="2"/>
      <c r="M95" s="1"/>
      <c r="N95" s="2"/>
      <c r="R95" s="316" t="s">
        <v>117</v>
      </c>
      <c r="S95" s="316"/>
      <c r="T95" s="316"/>
      <c r="X95" s="108"/>
      <c r="AA95" s="101"/>
    </row>
    <row r="96" spans="2:27" ht="13.5" thickBot="1" x14ac:dyDescent="0.25">
      <c r="B96" s="101"/>
      <c r="C96" s="109"/>
      <c r="D96" s="110"/>
      <c r="E96" s="110"/>
      <c r="F96" s="110"/>
      <c r="G96" s="110"/>
      <c r="H96" s="110"/>
      <c r="I96" s="110"/>
      <c r="J96" s="110"/>
      <c r="K96" s="110"/>
      <c r="L96" s="110"/>
      <c r="M96" s="110"/>
      <c r="N96" s="110"/>
      <c r="O96" s="110"/>
      <c r="P96" s="110"/>
      <c r="Q96" s="110"/>
      <c r="R96" s="314" t="s">
        <v>118</v>
      </c>
      <c r="S96" s="314"/>
      <c r="T96" s="314"/>
      <c r="U96" s="110"/>
      <c r="V96" s="110"/>
      <c r="W96" s="110"/>
      <c r="X96" s="111"/>
      <c r="AA96" s="101"/>
    </row>
    <row r="97" spans="2:27" ht="13.5" thickTop="1" x14ac:dyDescent="0.2">
      <c r="B97" s="101"/>
      <c r="C97" s="126"/>
      <c r="D97" s="137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06"/>
      <c r="Y97" s="101"/>
      <c r="Z97" s="101"/>
      <c r="AA97" s="101"/>
    </row>
    <row r="98" spans="2:27" x14ac:dyDescent="0.2">
      <c r="B98" s="101"/>
      <c r="C98" s="127"/>
      <c r="D98" s="133"/>
      <c r="E98" s="101"/>
      <c r="F98" s="101"/>
      <c r="G98" s="101"/>
      <c r="H98" s="101"/>
      <c r="I98" s="101"/>
      <c r="J98" s="101"/>
      <c r="K98" s="101"/>
      <c r="L98" s="166" t="s">
        <v>116</v>
      </c>
      <c r="M98" s="101"/>
      <c r="N98" s="101"/>
      <c r="O98" s="101"/>
      <c r="P98" s="101"/>
      <c r="Q98" s="315" t="s">
        <v>133</v>
      </c>
      <c r="R98" s="315"/>
      <c r="S98" s="315"/>
      <c r="T98" s="315"/>
      <c r="U98" s="315"/>
      <c r="V98" s="101"/>
      <c r="W98" s="101"/>
      <c r="X98" s="136"/>
      <c r="Y98" s="101"/>
      <c r="Z98" s="101"/>
      <c r="AA98" s="101"/>
    </row>
    <row r="99" spans="2:27" x14ac:dyDescent="0.2">
      <c r="B99" s="101"/>
      <c r="C99" s="127"/>
      <c r="D99" s="101"/>
      <c r="E99" s="101"/>
      <c r="F99" s="101"/>
      <c r="G99" s="101"/>
      <c r="H99" s="101"/>
      <c r="I99" s="101"/>
      <c r="J99" s="101"/>
      <c r="K99" s="297"/>
      <c r="L99" s="298" t="s">
        <v>0</v>
      </c>
      <c r="M99" s="299"/>
      <c r="N99" s="165"/>
      <c r="O99" s="165"/>
      <c r="P99" s="101"/>
      <c r="Q99" s="101"/>
      <c r="R99" s="101"/>
      <c r="S99" s="101"/>
      <c r="T99" s="101"/>
      <c r="U99" s="101"/>
      <c r="V99" s="101"/>
      <c r="W99" s="101"/>
      <c r="X99" s="136"/>
      <c r="Y99" s="101"/>
      <c r="Z99" s="101"/>
      <c r="AA99" s="101"/>
    </row>
    <row r="100" spans="2:27" ht="13.5" thickBot="1" x14ac:dyDescent="0.25">
      <c r="B100" s="101"/>
      <c r="C100" s="128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  <c r="O100" s="114"/>
      <c r="P100" s="114"/>
      <c r="Q100" s="305" t="s">
        <v>134</v>
      </c>
      <c r="R100" s="305"/>
      <c r="S100" s="305"/>
      <c r="T100" s="305"/>
      <c r="U100" s="305"/>
      <c r="V100" s="114"/>
      <c r="W100" s="114"/>
      <c r="X100" s="116"/>
      <c r="Y100" s="134"/>
      <c r="Z100" s="134"/>
      <c r="AA100" s="101"/>
    </row>
    <row r="101" spans="2:27" ht="9" customHeight="1" thickTop="1" x14ac:dyDescent="0.2">
      <c r="B101" s="101"/>
      <c r="C101" s="101"/>
      <c r="D101" s="101"/>
      <c r="E101" s="101"/>
      <c r="F101" s="102"/>
      <c r="G101" s="101"/>
      <c r="H101" s="101"/>
      <c r="I101" s="101"/>
      <c r="J101" s="101"/>
      <c r="K101" s="101"/>
      <c r="L101" s="165"/>
      <c r="M101" s="165"/>
      <c r="N101" s="165"/>
      <c r="O101" s="165"/>
      <c r="P101" s="101"/>
      <c r="Q101" s="101"/>
      <c r="R101" s="101"/>
      <c r="S101" s="101"/>
      <c r="T101" s="101"/>
      <c r="U101" s="101"/>
      <c r="V101" s="101"/>
      <c r="W101" s="101"/>
      <c r="X101" s="101"/>
      <c r="AA101" s="101"/>
    </row>
    <row r="102" spans="2:27" x14ac:dyDescent="0.2">
      <c r="M102" s="3" t="s">
        <v>47</v>
      </c>
    </row>
  </sheetData>
  <sheetProtection algorithmName="SHA-512" hashValue="+yTGtlAH3nviJ1k7CxWXLyd2K19gaKNv6FWg24I62nlXgtWsy4ZlN7+06w2njtq5an+KnbFyn+LLCRX8ZolQqQ==" saltValue="DmsbxnZcRsKRVA4tBD9uIQ==" spinCount="100000" sheet="1" objects="1" scenarios="1" selectLockedCells="1"/>
  <mergeCells count="39">
    <mergeCell ref="O6:W6"/>
    <mergeCell ref="O22:W22"/>
    <mergeCell ref="O77:W77"/>
    <mergeCell ref="P78:W78"/>
    <mergeCell ref="O30:W30"/>
    <mergeCell ref="O54:W54"/>
    <mergeCell ref="O14:W14"/>
    <mergeCell ref="D2:K2"/>
    <mergeCell ref="O2:W2"/>
    <mergeCell ref="D3:E3"/>
    <mergeCell ref="D5:F5"/>
    <mergeCell ref="H5:J5"/>
    <mergeCell ref="O3:W3"/>
    <mergeCell ref="D13:F13"/>
    <mergeCell ref="H13:J13"/>
    <mergeCell ref="H70:J70"/>
    <mergeCell ref="O46:W46"/>
    <mergeCell ref="H80:J80"/>
    <mergeCell ref="D61:F61"/>
    <mergeCell ref="D21:F21"/>
    <mergeCell ref="H21:J21"/>
    <mergeCell ref="D29:F29"/>
    <mergeCell ref="H29:J29"/>
    <mergeCell ref="D37:F37"/>
    <mergeCell ref="D45:F45"/>
    <mergeCell ref="D53:F53"/>
    <mergeCell ref="H37:J37"/>
    <mergeCell ref="O38:W38"/>
    <mergeCell ref="Q100:U100"/>
    <mergeCell ref="H86:J86"/>
    <mergeCell ref="H45:J45"/>
    <mergeCell ref="H53:J53"/>
    <mergeCell ref="P81:V82"/>
    <mergeCell ref="P83:V91"/>
    <mergeCell ref="O62:W62"/>
    <mergeCell ref="H61:J61"/>
    <mergeCell ref="R96:T96"/>
    <mergeCell ref="Q98:U98"/>
    <mergeCell ref="R95:T95"/>
  </mergeCells>
  <conditionalFormatting sqref="X16:X19">
    <cfRule type="cellIs" dxfId="32" priority="44" stopIfTrue="1" operator="notEqual">
      <formula>0</formula>
    </cfRule>
  </conditionalFormatting>
  <conditionalFormatting sqref="K71:K78 K81:K84 K87:K88 K91 K94">
    <cfRule type="expression" dxfId="31" priority="46" stopIfTrue="1">
      <formula>IF(AND(#REF!=#REF!,#REF!&lt;&gt;"",#REF!&lt;&gt;""),1,0)</formula>
    </cfRule>
  </conditionalFormatting>
  <conditionalFormatting sqref="G94 G81:G84 G87:G88 G91 G72:G78">
    <cfRule type="expression" dxfId="30" priority="47" stopIfTrue="1">
      <formula>IF(AND(B1=D1,B1&lt;&gt;"",D1&lt;&gt;""),1,0)</formula>
    </cfRule>
  </conditionalFormatting>
  <conditionalFormatting sqref="P8:W11 P16:W19 P24:W27 P32:W35 P40:W43 P48:W51 P56:W59 P64:W67">
    <cfRule type="cellIs" dxfId="29" priority="48" stopIfTrue="1" operator="greaterThan">
      <formula>0</formula>
    </cfRule>
    <cfRule type="cellIs" dxfId="28" priority="49" stopIfTrue="1" operator="lessThan">
      <formula>0</formula>
    </cfRule>
  </conditionalFormatting>
  <conditionalFormatting sqref="G71">
    <cfRule type="expression" dxfId="27" priority="39" stopIfTrue="1">
      <formula>IF(AND(H71=J71,H71&lt;&gt;"",J71&lt;&gt;""),1,0)</formula>
    </cfRule>
  </conditionalFormatting>
  <conditionalFormatting sqref="G71">
    <cfRule type="expression" dxfId="26" priority="38" stopIfTrue="1">
      <formula>IF(AND(H71=J71,H71&lt;&gt;"",J71&lt;&gt;""),1,0)</formula>
    </cfRule>
  </conditionalFormatting>
  <conditionalFormatting sqref="G71:G78">
    <cfRule type="expression" dxfId="25" priority="37" stopIfTrue="1">
      <formula>IF(AND(H71=J71,H71&lt;&gt;"",J71&lt;&gt;""),1,0)</formula>
    </cfRule>
  </conditionalFormatting>
  <conditionalFormatting sqref="K71:K78">
    <cfRule type="expression" dxfId="24" priority="36" stopIfTrue="1">
      <formula>IF(AND(H71=J71,H71&lt;&gt;"",J71&lt;&gt;""),1,0)</formula>
    </cfRule>
  </conditionalFormatting>
  <conditionalFormatting sqref="G81:G84">
    <cfRule type="expression" dxfId="23" priority="35" stopIfTrue="1">
      <formula>IF(AND(H81=J81,H81&lt;&gt;"",J81&lt;&gt;""),1,0)</formula>
    </cfRule>
  </conditionalFormatting>
  <conditionalFormatting sqref="K81:K84">
    <cfRule type="expression" dxfId="22" priority="34" stopIfTrue="1">
      <formula>IF(AND(H81=J81,H81&lt;&gt;"",J81&lt;&gt;""),1,0)</formula>
    </cfRule>
  </conditionalFormatting>
  <conditionalFormatting sqref="G87:G88">
    <cfRule type="expression" dxfId="21" priority="33" stopIfTrue="1">
      <formula>IF(AND(H87=J87,H87&lt;&gt;"",J87&lt;&gt;""),1,0)</formula>
    </cfRule>
  </conditionalFormatting>
  <conditionalFormatting sqref="K87:K88">
    <cfRule type="expression" dxfId="20" priority="32" stopIfTrue="1">
      <formula>IF(AND(H87=J87,H87&lt;&gt;"",J87&lt;&gt;""),1,0)</formula>
    </cfRule>
  </conditionalFormatting>
  <conditionalFormatting sqref="G91">
    <cfRule type="expression" dxfId="19" priority="31" stopIfTrue="1">
      <formula>IF(AND(H91=J91,H91&lt;&gt;"",J91&lt;&gt;""),1,0)</formula>
    </cfRule>
  </conditionalFormatting>
  <conditionalFormatting sqref="K91">
    <cfRule type="expression" dxfId="18" priority="30" stopIfTrue="1">
      <formula>IF(AND(H91=J91,H91&lt;&gt;"",J91&lt;&gt;""),1,0)</formula>
    </cfRule>
  </conditionalFormatting>
  <conditionalFormatting sqref="G94">
    <cfRule type="expression" dxfId="17" priority="29" stopIfTrue="1">
      <formula>IF(AND(H94=J94,H94&lt;&gt;"",J94&lt;&gt;""),1,0)</formula>
    </cfRule>
  </conditionalFormatting>
  <conditionalFormatting sqref="K94">
    <cfRule type="expression" dxfId="16" priority="28" stopIfTrue="1">
      <formula>IF(AND(H94=J94,H94&lt;&gt;"",J94&lt;&gt;""),1,0)</formula>
    </cfRule>
  </conditionalFormatting>
  <conditionalFormatting sqref="N8:N11 N16:N19 N24:N27 N32:N35 N40:N43 N48:N51 N56:N59 N64:N67">
    <cfRule type="iconSet" priority="17">
      <iconSet iconSet="4TrafficLights" reverse="1">
        <cfvo type="percent" val="0"/>
        <cfvo type="percent" val="25"/>
        <cfvo type="percent" val="50"/>
        <cfvo type="percent" val="75"/>
      </iconSet>
    </cfRule>
  </conditionalFormatting>
  <conditionalFormatting sqref="O8">
    <cfRule type="expression" dxfId="15" priority="16">
      <formula>$Q$8=3</formula>
    </cfRule>
  </conditionalFormatting>
  <conditionalFormatting sqref="O9">
    <cfRule type="expression" dxfId="14" priority="15">
      <formula>$Q$9=3</formula>
    </cfRule>
  </conditionalFormatting>
  <conditionalFormatting sqref="O16">
    <cfRule type="expression" dxfId="13" priority="14">
      <formula>$Q$16=3</formula>
    </cfRule>
  </conditionalFormatting>
  <conditionalFormatting sqref="O17">
    <cfRule type="expression" dxfId="12" priority="13">
      <formula>$Q$17=3</formula>
    </cfRule>
  </conditionalFormatting>
  <conditionalFormatting sqref="O24">
    <cfRule type="expression" dxfId="11" priority="12">
      <formula>$Q$24=3</formula>
    </cfRule>
  </conditionalFormatting>
  <conditionalFormatting sqref="O25">
    <cfRule type="expression" dxfId="10" priority="11">
      <formula>$Q$25=3</formula>
    </cfRule>
  </conditionalFormatting>
  <conditionalFormatting sqref="O32">
    <cfRule type="expression" dxfId="9" priority="10">
      <formula>$Q$32=3</formula>
    </cfRule>
  </conditionalFormatting>
  <conditionalFormatting sqref="O33">
    <cfRule type="expression" dxfId="8" priority="9">
      <formula>$Q$33=3</formula>
    </cfRule>
  </conditionalFormatting>
  <conditionalFormatting sqref="O40">
    <cfRule type="expression" dxfId="7" priority="8">
      <formula>$Q$40=3</formula>
    </cfRule>
  </conditionalFormatting>
  <conditionalFormatting sqref="O41">
    <cfRule type="expression" dxfId="6" priority="7">
      <formula>$Q$41=3</formula>
    </cfRule>
  </conditionalFormatting>
  <conditionalFormatting sqref="O48">
    <cfRule type="expression" dxfId="5" priority="6">
      <formula>$Q$48=3</formula>
    </cfRule>
  </conditionalFormatting>
  <conditionalFormatting sqref="O49">
    <cfRule type="expression" dxfId="4" priority="5">
      <formula>$Q$49=3</formula>
    </cfRule>
  </conditionalFormatting>
  <conditionalFormatting sqref="O56">
    <cfRule type="expression" dxfId="3" priority="4">
      <formula>$Q$56=3</formula>
    </cfRule>
  </conditionalFormatting>
  <conditionalFormatting sqref="O57">
    <cfRule type="expression" dxfId="2" priority="3">
      <formula>$Q$57=3</formula>
    </cfRule>
  </conditionalFormatting>
  <conditionalFormatting sqref="O64">
    <cfRule type="expression" dxfId="1" priority="2">
      <formula>$Q$64=3</formula>
    </cfRule>
  </conditionalFormatting>
  <conditionalFormatting sqref="O65">
    <cfRule type="expression" dxfId="0" priority="1">
      <formula>$Q$65=3</formula>
    </cfRule>
  </conditionalFormatting>
  <hyperlinks>
    <hyperlink ref="Y4" r:id="rId1"/>
    <hyperlink ref="Y6" r:id="rId2"/>
    <hyperlink ref="Y8" r:id="rId3"/>
    <hyperlink ref="Y13" r:id="rId4"/>
    <hyperlink ref="Y14" r:id="rId5"/>
    <hyperlink ref="Y15" r:id="rId6"/>
    <hyperlink ref="Y16" r:id="rId7"/>
    <hyperlink ref="Y17" r:id="rId8"/>
    <hyperlink ref="Y18" r:id="rId9"/>
    <hyperlink ref="Y19" r:id="rId10"/>
    <hyperlink ref="Y20" r:id="rId11"/>
    <hyperlink ref="Y21" r:id="rId12"/>
    <hyperlink ref="Y24" r:id="rId13"/>
    <hyperlink ref="Y26" r:id="rId14"/>
    <hyperlink ref="Y27" r:id="rId15"/>
    <hyperlink ref="R95:T95" r:id="rId16" display="compartilhe"/>
    <hyperlink ref="L99" r:id="rId17"/>
    <hyperlink ref="Q98:U98" location="info!A1" display="Outras Tabelas"/>
    <hyperlink ref="O2" r:id="rId18"/>
    <hyperlink ref="O3:W3" r:id="rId19" display="Ver Mais Planilhas"/>
    <hyperlink ref="D2:K2" r:id="rId20" display="Tabela da copa do mundo de 2014"/>
    <hyperlink ref="Q100:U100" location="'Mais Tabelas'!A1" display="Outras Planilhas"/>
  </hyperlinks>
  <printOptions horizontalCentered="1"/>
  <pageMargins left="0.39374999999999999" right="0.39374999999999999" top="0.59027777777777779" bottom="0.78749999999999998" header="0.51180555555555551" footer="0.51180555555555551"/>
  <pageSetup paperSize="9" scale="87" firstPageNumber="0" orientation="portrait" horizontalDpi="300" verticalDpi="300" r:id="rId21"/>
  <headerFooter alignWithMargins="0"/>
  <ignoredErrors>
    <ignoredError sqref="F9:F10 L8 F17:F18 F15 L16 F25:F26 L24 F23 F31 F33:F34 F41:F42 F39 L40 F47 F49:F50 L48 F55 F57:F58 L56 F63 F65:F66 L64 L32" formula="1"/>
  </ignoredErrors>
  <drawing r:id="rId22"/>
  <legacyDrawing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AR65"/>
  <sheetViews>
    <sheetView showGridLines="0" showOutlineSymbols="0" workbookViewId="0">
      <selection activeCell="B1" sqref="B1"/>
    </sheetView>
  </sheetViews>
  <sheetFormatPr defaultRowHeight="12.75" x14ac:dyDescent="0.2"/>
  <cols>
    <col min="1" max="1" width="24.28515625" style="6" bestFit="1" customWidth="1"/>
    <col min="2" max="2" width="3" style="4" customWidth="1"/>
    <col min="3" max="3" width="1.85546875" style="4" customWidth="1"/>
    <col min="4" max="4" width="2.140625" style="4" customWidth="1"/>
    <col min="5" max="5" width="1.85546875" style="4" customWidth="1"/>
    <col min="6" max="6" width="2" style="4" customWidth="1"/>
    <col min="7" max="7" width="3" style="4" customWidth="1"/>
    <col min="8" max="10" width="3.140625" style="4" customWidth="1"/>
    <col min="11" max="11" width="15.85546875" style="11" customWidth="1"/>
    <col min="12" max="12" width="2.7109375" style="11" customWidth="1"/>
    <col min="13" max="13" width="2" style="11" customWidth="1"/>
    <col min="14" max="14" width="14.42578125" style="11" customWidth="1"/>
    <col min="15" max="15" width="2.28515625" style="11" customWidth="1"/>
    <col min="16" max="16" width="2.5703125" style="11" customWidth="1"/>
    <col min="17" max="17" width="12.85546875" style="11" customWidth="1"/>
    <col min="18" max="18" width="2.7109375" style="11" customWidth="1"/>
    <col min="19" max="19" width="3.140625" style="11" customWidth="1"/>
    <col min="20" max="20" width="2.28515625" style="11" customWidth="1"/>
    <col min="21" max="21" width="13.85546875" style="11" customWidth="1"/>
    <col min="22" max="22" width="2.7109375" style="11" customWidth="1"/>
    <col min="23" max="23" width="3.140625" style="11" customWidth="1"/>
    <col min="24" max="24" width="12" style="11" customWidth="1"/>
    <col min="25" max="25" width="2.7109375" style="11" customWidth="1"/>
    <col min="26" max="26" width="3.140625" style="11" customWidth="1"/>
    <col min="27" max="27" width="2.85546875" style="11" customWidth="1"/>
    <col min="28" max="28" width="10.140625" style="11" customWidth="1"/>
    <col min="29" max="29" width="2.7109375" style="11" customWidth="1"/>
    <col min="30" max="30" width="3.140625" style="11" customWidth="1"/>
    <col min="31" max="31" width="3" style="11" customWidth="1"/>
    <col min="32" max="32" width="10.140625" style="11" customWidth="1"/>
    <col min="33" max="33" width="2.7109375" style="11" customWidth="1"/>
    <col min="34" max="34" width="3.140625" style="11" customWidth="1"/>
    <col min="35" max="35" width="3" style="11" customWidth="1"/>
    <col min="36" max="36" width="10.140625" style="11" customWidth="1"/>
    <col min="37" max="37" width="2.7109375" style="11" customWidth="1"/>
    <col min="38" max="38" width="3.140625" style="11" customWidth="1"/>
    <col min="39" max="39" width="3" style="11" customWidth="1"/>
    <col min="40" max="40" width="10.140625" style="11" customWidth="1"/>
    <col min="41" max="41" width="2.7109375" style="11" customWidth="1"/>
    <col min="42" max="42" width="3.140625" style="11" customWidth="1"/>
    <col min="43" max="43" width="3" style="11" customWidth="1"/>
    <col min="44" max="44" width="21.85546875" style="11" customWidth="1"/>
    <col min="45" max="45" width="8.85546875" style="11" customWidth="1"/>
    <col min="46" max="46" width="11" style="11" customWidth="1"/>
    <col min="47" max="16384" width="9.140625" style="11"/>
  </cols>
  <sheetData>
    <row r="1" spans="1:44" x14ac:dyDescent="0.2">
      <c r="A1" s="158" t="s">
        <v>0</v>
      </c>
      <c r="B1" s="201"/>
      <c r="C1" s="156"/>
      <c r="D1" s="156"/>
      <c r="E1" s="156"/>
      <c r="F1" s="156"/>
      <c r="G1" s="162"/>
      <c r="H1" s="163">
        <v>2014</v>
      </c>
      <c r="I1" s="161"/>
      <c r="J1" s="157"/>
      <c r="K1" s="164">
        <v>2014</v>
      </c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9"/>
      <c r="AP1" s="160"/>
      <c r="AQ1" s="160"/>
    </row>
    <row r="2" spans="1:44" x14ac:dyDescent="0.2">
      <c r="A2" s="5"/>
      <c r="B2" s="8"/>
      <c r="C2" s="8"/>
      <c r="D2" s="8"/>
      <c r="E2" s="8"/>
      <c r="F2" s="8"/>
      <c r="G2" s="8"/>
      <c r="H2" s="8"/>
      <c r="I2" s="8"/>
      <c r="J2" s="8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3"/>
    </row>
    <row r="3" spans="1:44" x14ac:dyDescent="0.2">
      <c r="A3" s="5"/>
      <c r="B3" s="343" t="s">
        <v>48</v>
      </c>
      <c r="C3" s="343"/>
      <c r="D3" s="343"/>
      <c r="E3" s="343"/>
      <c r="F3" s="343"/>
      <c r="G3" s="343"/>
      <c r="H3" s="343"/>
      <c r="I3" s="343"/>
      <c r="J3" s="8"/>
      <c r="K3" s="12" t="s">
        <v>49</v>
      </c>
      <c r="L3" s="12"/>
      <c r="M3" s="12"/>
      <c r="N3" s="12" t="s">
        <v>50</v>
      </c>
      <c r="O3" s="12"/>
      <c r="P3" s="12"/>
      <c r="Q3" s="12" t="s">
        <v>51</v>
      </c>
      <c r="R3" s="12"/>
      <c r="S3" s="12"/>
      <c r="T3" s="12"/>
      <c r="U3" s="12" t="s">
        <v>51</v>
      </c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3"/>
    </row>
    <row r="4" spans="1:44" x14ac:dyDescent="0.2">
      <c r="A4" s="41" t="s">
        <v>52</v>
      </c>
      <c r="B4" s="42" t="s">
        <v>6</v>
      </c>
      <c r="C4" s="43" t="s">
        <v>7</v>
      </c>
      <c r="D4" s="43" t="s">
        <v>8</v>
      </c>
      <c r="E4" s="43" t="s">
        <v>9</v>
      </c>
      <c r="F4" s="43" t="s">
        <v>10</v>
      </c>
      <c r="G4" s="43" t="s">
        <v>11</v>
      </c>
      <c r="H4" s="43" t="s">
        <v>12</v>
      </c>
      <c r="I4" s="43" t="s">
        <v>13</v>
      </c>
      <c r="J4" s="15"/>
      <c r="K4" s="12"/>
      <c r="L4" s="12" t="s">
        <v>6</v>
      </c>
      <c r="M4" s="12"/>
      <c r="N4" s="12"/>
      <c r="O4" s="12" t="s">
        <v>53</v>
      </c>
      <c r="P4" s="12"/>
      <c r="Q4" s="12"/>
      <c r="R4" s="12" t="s">
        <v>6</v>
      </c>
      <c r="S4" s="12" t="s">
        <v>13</v>
      </c>
      <c r="T4" s="12"/>
      <c r="U4" s="12"/>
      <c r="V4" s="12" t="s">
        <v>6</v>
      </c>
      <c r="W4" s="12" t="s">
        <v>13</v>
      </c>
      <c r="X4" s="12"/>
      <c r="Y4" s="12" t="s">
        <v>6</v>
      </c>
      <c r="Z4" s="12" t="s">
        <v>13</v>
      </c>
      <c r="AA4" s="12"/>
      <c r="AB4" s="12"/>
      <c r="AC4" s="12" t="s">
        <v>6</v>
      </c>
      <c r="AD4" s="12" t="s">
        <v>13</v>
      </c>
      <c r="AE4" s="12" t="s">
        <v>11</v>
      </c>
      <c r="AF4" s="12"/>
      <c r="AG4" s="12" t="s">
        <v>6</v>
      </c>
      <c r="AH4" s="12" t="s">
        <v>13</v>
      </c>
      <c r="AI4" s="12" t="s">
        <v>11</v>
      </c>
      <c r="AJ4" s="12"/>
      <c r="AK4" s="12" t="s">
        <v>6</v>
      </c>
      <c r="AL4" s="12" t="s">
        <v>13</v>
      </c>
      <c r="AM4" s="12" t="s">
        <v>11</v>
      </c>
      <c r="AN4" s="12"/>
      <c r="AO4" s="12" t="s">
        <v>6</v>
      </c>
      <c r="AP4" s="12" t="s">
        <v>13</v>
      </c>
      <c r="AQ4" s="12" t="s">
        <v>11</v>
      </c>
      <c r="AR4" s="13"/>
    </row>
    <row r="5" spans="1:44" x14ac:dyDescent="0.2">
      <c r="A5" s="44" t="str">
        <f>info!C3</f>
        <v>Brasil</v>
      </c>
      <c r="B5" s="45">
        <f>IF(Copa=FIFA,SUM(D5*3)+E5,0)</f>
        <v>0</v>
      </c>
      <c r="C5" s="46">
        <f>COUNT(Tabela!H6,Tabela!H8,Tabela!H10)</f>
        <v>0</v>
      </c>
      <c r="D5" s="46">
        <f>SUM(IF(Tabela!$H$6&gt;Tabela!$J$6,COUNT(Tabela!$H$6)),IF(Tabela!$H$8&gt;Tabela!$J$8,COUNT(Tabela!$H$8)),IF(Tabela!$H$10&gt;Tabela!$J$10,COUNT(Tabela!$J$10)))</f>
        <v>0</v>
      </c>
      <c r="E5" s="46">
        <f>SUM(IF(Tabela!$H$6=Tabela!$J$6,COUNT(Tabela!$H$6)),IF(Tabela!$H$8=Tabela!$J$8,COUNT(Tabela!$H$8)),IF(Tabela!$H$10=Tabela!$J$10,COUNT(Tabela!$H$10)))</f>
        <v>0</v>
      </c>
      <c r="F5" s="46">
        <f>SUM(IF(Tabela!$H$6&lt;Tabela!$J$6,COUNT(Tabela!$H$6)),IF(Tabela!$H$8&lt;Tabela!$J$8,COUNT(Tabela!$H$8)),IF(Tabela!$H$10&lt;Tabela!$J$10,COUNT(Tabela!$H$10)))</f>
        <v>0</v>
      </c>
      <c r="G5" s="46">
        <f>SUM(Tabela!H6+Tabela!H8+Tabela!H10)</f>
        <v>0</v>
      </c>
      <c r="H5" s="46">
        <f>SUM(Tabela!J6+Tabela!J8+Tabela!J10)</f>
        <v>0</v>
      </c>
      <c r="I5" s="46">
        <f>IF(BR20I4=Tabela!D2,SUM(G5-H5),"X")</f>
        <v>0</v>
      </c>
      <c r="J5" s="14"/>
      <c r="K5" s="12" t="str">
        <f>IF($B5&gt;=$B6,$A5,$A6)</f>
        <v>Brasil</v>
      </c>
      <c r="L5" s="12">
        <f>VLOOKUP(K5,$A$5:$I$8,2,FALSE)</f>
        <v>0</v>
      </c>
      <c r="M5" s="12"/>
      <c r="N5" s="12" t="str">
        <f>IF(L5&gt;=L7,K5,K7)</f>
        <v>Brasil</v>
      </c>
      <c r="O5" s="12">
        <f>VLOOKUP(N5,$A$5:$I$8,2,FALSE)</f>
        <v>0</v>
      </c>
      <c r="P5" s="12"/>
      <c r="Q5" s="12" t="str">
        <f>IF(O5&gt;=O8,N5,N8)</f>
        <v>Brasil</v>
      </c>
      <c r="R5" s="12">
        <f>VLOOKUP(Q5,$A$5:$I$8,2,FALSE)</f>
        <v>0</v>
      </c>
      <c r="S5" s="12">
        <f>VLOOKUP(Q5,$A$5:$I$8,9,FALSE)</f>
        <v>0</v>
      </c>
      <c r="T5" s="12"/>
      <c r="U5" s="12" t="str">
        <f>IF(AND(R5=R6,S6&gt;S5),Q6,Q5)</f>
        <v>Brasil</v>
      </c>
      <c r="V5" s="12">
        <f>VLOOKUP(U5,$A$5:$I$8,2,FALSE)</f>
        <v>0</v>
      </c>
      <c r="W5" s="12">
        <f>VLOOKUP(U5,$A$5:$I$8,9,FALSE)</f>
        <v>0</v>
      </c>
      <c r="X5" s="12" t="str">
        <f>IF(AND(V5=V7,W7&gt;W5),U7,U5)</f>
        <v>Brasil</v>
      </c>
      <c r="Y5" s="12">
        <f>VLOOKUP(X5,$A$5:$I$8,2,FALSE)</f>
        <v>0</v>
      </c>
      <c r="Z5" s="12">
        <f>VLOOKUP(X5,$A$5:$I$8,9,FALSE)</f>
        <v>0</v>
      </c>
      <c r="AA5" s="12"/>
      <c r="AB5" s="12" t="str">
        <f>IF(AND(Y5=Y8,Z8&gt;Z5),X8,X5)</f>
        <v>Brasil</v>
      </c>
      <c r="AC5" s="12">
        <f>VLOOKUP(AB5,$A$5:$I$8,2,FALSE)</f>
        <v>0</v>
      </c>
      <c r="AD5" s="12">
        <f>VLOOKUP(AB5,$A$5:$I$8,9,FALSE)</f>
        <v>0</v>
      </c>
      <c r="AE5" s="12">
        <f>VLOOKUP(AB5,$A$5:$I$8,7,FALSE)</f>
        <v>0</v>
      </c>
      <c r="AF5" s="12" t="str">
        <f>IF(AND(AC5=AC6,AD5=AD6,AE6&gt;AE5),AB6,AB5)</f>
        <v>Brasil</v>
      </c>
      <c r="AG5" s="12">
        <f>VLOOKUP(AF5,$A$5:$I$8,2,FALSE)</f>
        <v>0</v>
      </c>
      <c r="AH5" s="12">
        <f>VLOOKUP(AF5,$A$5:$I$8,9,FALSE)</f>
        <v>0</v>
      </c>
      <c r="AI5" s="12">
        <f>VLOOKUP(AF5,$A$5:$I$8,7,FALSE)</f>
        <v>0</v>
      </c>
      <c r="AJ5" s="12" t="str">
        <f>IF(AND(AG5=AG7,AH5=AH7,AI7&gt;AI5),AF7,AF5)</f>
        <v>Brasil</v>
      </c>
      <c r="AK5" s="12">
        <f>VLOOKUP(AJ5,$A$5:$I$8,2,FALSE)</f>
        <v>0</v>
      </c>
      <c r="AL5" s="12">
        <f>VLOOKUP(AJ5,$A$5:$I$8,9,FALSE)</f>
        <v>0</v>
      </c>
      <c r="AM5" s="12">
        <f>VLOOKUP(AJ5,$A$5:$I$8,7,FALSE)</f>
        <v>0</v>
      </c>
      <c r="AN5" s="12" t="str">
        <f>IF(AND(AK5=AK8,AL5=AL8,AM8&gt;AM5),AJ8,AJ5)</f>
        <v>Brasil</v>
      </c>
      <c r="AO5" s="12">
        <f>VLOOKUP(AN5,$A$5:$I$8,2,FALSE)</f>
        <v>0</v>
      </c>
      <c r="AP5" s="12">
        <f>IF(Tabela!O2="www.guiadecompra.com",VLOOKUP(AN5,$A$5:$I$8,9,FALSE),0)</f>
        <v>0</v>
      </c>
      <c r="AQ5" s="12">
        <f>VLOOKUP(AN5,$A$5:$I$8,7,FALSE)</f>
        <v>0</v>
      </c>
      <c r="AR5" s="13"/>
    </row>
    <row r="6" spans="1:44" x14ac:dyDescent="0.2">
      <c r="A6" s="44" t="str">
        <f>info!C4</f>
        <v>Croácia</v>
      </c>
      <c r="B6" s="45">
        <f>IF(Copa=FIFA,SUM(D6*3)+E6,0)</f>
        <v>0</v>
      </c>
      <c r="C6" s="46">
        <f>COUNT(Tabela!J6,Tabela!H9,Tabela!H11)</f>
        <v>0</v>
      </c>
      <c r="D6" s="46">
        <f>SUM(IF(Tabela!$J$6&gt;Tabela!$H$6,COUNT(Tabela!$J$6)),IF(Tabela!$H$9&gt;Tabela!$J$9,COUNT(Tabela!$H$9)),IF(Tabela!$H$11&gt;Tabela!$J$11,COUNT(Tabela!$H$11)))</f>
        <v>0</v>
      </c>
      <c r="E6" s="46">
        <f>SUM(IF(Tabela!$J$6=Tabela!$H$6,COUNT(Tabela!$J$6)),IF(Tabela!$H$9=Tabela!$J$9,COUNT(Tabela!$H$9)),IF(Tabela!$H$11=Tabela!$J$11,COUNT(Tabela!$H$11)))</f>
        <v>0</v>
      </c>
      <c r="F6" s="46">
        <f>SUM(IF(Tabela!$J$6&lt;Tabela!$H$6,COUNT(Tabela!$J$6)),IF(Tabela!$H$9&lt;Tabela!$J$9,COUNT(Tabela!$H$9)),IF(Tabela!$H$11&lt;Tabela!$J$11,COUNT(Tabela!$H$11)))</f>
        <v>0</v>
      </c>
      <c r="G6" s="46">
        <f>SUM(Tabela!J6+Tabela!H9+Tabela!H11)</f>
        <v>0</v>
      </c>
      <c r="H6" s="46">
        <f>SUM(Tabela!H6+Tabela!J9+Tabela!J11)</f>
        <v>0</v>
      </c>
      <c r="I6" s="46">
        <f>IF(BR20I4=Tabela!D2,SUM(G6-H6),"X")</f>
        <v>0</v>
      </c>
      <c r="J6" s="14"/>
      <c r="K6" s="12" t="str">
        <f>IF(B6&lt;=B5,A6,A5)</f>
        <v>Croácia</v>
      </c>
      <c r="L6" s="12">
        <f>VLOOKUP(K6,$A$5:$I$8,2,FALSE)</f>
        <v>0</v>
      </c>
      <c r="M6" s="12"/>
      <c r="N6" s="12" t="str">
        <f>IF(L6&gt;=L8,K6,K8)</f>
        <v>Croácia</v>
      </c>
      <c r="O6" s="12">
        <f>VLOOKUP(N6,$A$5:$I$8,2,FALSE)</f>
        <v>0</v>
      </c>
      <c r="P6" s="12"/>
      <c r="Q6" s="12" t="str">
        <f>IF(O6&gt;=O7,N6,N7)</f>
        <v>Croácia</v>
      </c>
      <c r="R6" s="12">
        <f>VLOOKUP(Q6,$A$5:$I$8,2,FALSE)</f>
        <v>0</v>
      </c>
      <c r="S6" s="12">
        <f>VLOOKUP(Q6,$A$5:$I$8,9,FALSE)</f>
        <v>0</v>
      </c>
      <c r="T6" s="12"/>
      <c r="U6" s="12" t="str">
        <f>IF(AND(R5=R6,S6&gt;S5),Q5,Q6)</f>
        <v>Croácia</v>
      </c>
      <c r="V6" s="12">
        <f>VLOOKUP(U6,$A$5:$I$8,2,FALSE)</f>
        <v>0</v>
      </c>
      <c r="W6" s="12">
        <f>VLOOKUP(U6,$A$5:$I$8,9,FALSE)</f>
        <v>0</v>
      </c>
      <c r="X6" s="12" t="str">
        <f>IF(AND(V6=V8,W8&gt;W6),U8,U6)</f>
        <v>Croácia</v>
      </c>
      <c r="Y6" s="12">
        <f>VLOOKUP(X6,$A$5:$I$8,2,FALSE)</f>
        <v>0</v>
      </c>
      <c r="Z6" s="12">
        <f>VLOOKUP(X6,$A$5:$I$8,9,FALSE)</f>
        <v>0</v>
      </c>
      <c r="AA6" s="12"/>
      <c r="AB6" s="12" t="str">
        <f>IF(AND(Y6=Y7,Z7&gt;Z6),X7,X6)</f>
        <v>Croácia</v>
      </c>
      <c r="AC6" s="12">
        <f>VLOOKUP(AB6,$A$5:$I$8,2,FALSE)</f>
        <v>0</v>
      </c>
      <c r="AD6" s="12">
        <f>VLOOKUP(AB6,$A$5:$I$8,9,FALSE)</f>
        <v>0</v>
      </c>
      <c r="AE6" s="12">
        <f>VLOOKUP(AB6,$A$5:$I$8,7,FALSE)</f>
        <v>0</v>
      </c>
      <c r="AF6" s="12" t="str">
        <f>IF(AND(AC6=AC5,AD6=AD5,AE6&gt;AE5),AB5,AB6)</f>
        <v>Croácia</v>
      </c>
      <c r="AG6" s="12">
        <f>VLOOKUP(AF6,$A$5:$I$8,2,FALSE)</f>
        <v>0</v>
      </c>
      <c r="AH6" s="12">
        <f>VLOOKUP(AF6,$A$5:$I$8,9,FALSE)</f>
        <v>0</v>
      </c>
      <c r="AI6" s="12">
        <f>VLOOKUP(AF6,$A$5:$I$8,7,FALSE)</f>
        <v>0</v>
      </c>
      <c r="AJ6" s="12" t="str">
        <f>IF(AND(AG6=AG8,AH6=AH8,AI8&gt;AI6),AF8,AF6)</f>
        <v>Croácia</v>
      </c>
      <c r="AK6" s="12">
        <f>VLOOKUP(AJ6,$A$5:$I$8,2,FALSE)</f>
        <v>0</v>
      </c>
      <c r="AL6" s="12">
        <f>VLOOKUP(AJ6,$A$5:$I$8,9,FALSE)</f>
        <v>0</v>
      </c>
      <c r="AM6" s="12">
        <f>VLOOKUP(AJ6,$A$5:$I$8,7,FALSE)</f>
        <v>0</v>
      </c>
      <c r="AN6" s="12" t="str">
        <f>IF(AND(AK6=AK7,AL6=AL7,AM7&gt;AM6),AJ7,AJ6)</f>
        <v>Croácia</v>
      </c>
      <c r="AO6" s="12">
        <f>VLOOKUP(AN6,$A$5:$I$8,2,FALSE)</f>
        <v>0</v>
      </c>
      <c r="AP6" s="12">
        <f>IF(Tabela!O2="www.guiadecompra.com",VLOOKUP(AN6,$A$5:$I$8,9,FALSE),0)</f>
        <v>0</v>
      </c>
      <c r="AQ6" s="12">
        <f>VLOOKUP(AN6,$A$5:$I$8,7,FALSE)</f>
        <v>0</v>
      </c>
      <c r="AR6" s="13"/>
    </row>
    <row r="7" spans="1:44" x14ac:dyDescent="0.2">
      <c r="A7" s="44" t="str">
        <f>info!C5</f>
        <v>México</v>
      </c>
      <c r="B7" s="45">
        <f>IF(Copa=FIFA,SUM(D7*3)+E7,0)</f>
        <v>0</v>
      </c>
      <c r="C7" s="46">
        <f>COUNT(Tabela!H7,Tabela!J8,Tabela!J11)</f>
        <v>0</v>
      </c>
      <c r="D7" s="46">
        <f>SUM(IF(Tabela!$H$7&gt;Tabela!$J$7,COUNT(Tabela!$H$7)),IF(Tabela!$J$8&gt;Tabela!$H$8,COUNT(Tabela!$J$8)),IF(Tabela!$J$11&gt;Tabela!$H$11,COUNT(Tabela!$J$11)))</f>
        <v>0</v>
      </c>
      <c r="E7" s="46">
        <f>SUM(IF(Tabela!$H$7=Tabela!$J$7,COUNT(Tabela!$H$7)),IF(Tabela!$J$8=Tabela!$H$8,COUNT(Tabela!$J$8)),IF(Tabela!$J$11=Tabela!$H$11,COUNT(Tabela!$J$11)))</f>
        <v>0</v>
      </c>
      <c r="F7" s="46">
        <f>SUM(IF(Tabela!$H$7&lt;Tabela!$J$7,COUNT(Tabela!$H$7)),IF(Tabela!$J$8&lt;Tabela!$H$8,COUNT(Tabela!$J$8)),IF(Tabela!$J$11&lt;Tabela!$H$11,COUNT(Tabela!$J$11)))</f>
        <v>0</v>
      </c>
      <c r="G7" s="46">
        <f>SUM(Tabela!H7+Tabela!J8+Tabela!J11)</f>
        <v>0</v>
      </c>
      <c r="H7" s="46">
        <f>SUM(Tabela!J7+Tabela!H8+Tabela!H11)</f>
        <v>0</v>
      </c>
      <c r="I7" s="46">
        <f>IF(BR20I4=Tabela!D2,SUM(G7-H7),"X")</f>
        <v>0</v>
      </c>
      <c r="J7" s="14"/>
      <c r="K7" s="12" t="str">
        <f>IF(B7&gt;=B8,A7,A8)</f>
        <v>México</v>
      </c>
      <c r="L7" s="12">
        <f>VLOOKUP(K7,$A$5:$I$8,2,FALSE)</f>
        <v>0</v>
      </c>
      <c r="M7" s="12"/>
      <c r="N7" s="12" t="str">
        <f>IF(L7&lt;=L5,K7,K5)</f>
        <v>México</v>
      </c>
      <c r="O7" s="12">
        <f>VLOOKUP(N7,$A$5:$I$8,2,FALSE)</f>
        <v>0</v>
      </c>
      <c r="P7" s="12"/>
      <c r="Q7" s="12" t="str">
        <f>IF(O7&lt;=O6,N7,N6)</f>
        <v>México</v>
      </c>
      <c r="R7" s="12">
        <f>VLOOKUP(Q7,$A$5:$I$8,2,FALSE)</f>
        <v>0</v>
      </c>
      <c r="S7" s="12">
        <f>VLOOKUP(Q7,$A$5:$I$8,9,FALSE)</f>
        <v>0</v>
      </c>
      <c r="T7" s="12"/>
      <c r="U7" s="12" t="str">
        <f>IF(AND(R7=R8,S8&gt;S7),Q8,Q7)</f>
        <v>México</v>
      </c>
      <c r="V7" s="12">
        <f>VLOOKUP(U7,$A$5:$I$8,2,FALSE)</f>
        <v>0</v>
      </c>
      <c r="W7" s="12">
        <f>VLOOKUP(U7,$A$5:$I$8,9,FALSE)</f>
        <v>0</v>
      </c>
      <c r="X7" s="12" t="str">
        <f>IF(AND(V5=V7,W7&gt;W5),U5,U7)</f>
        <v>México</v>
      </c>
      <c r="Y7" s="12">
        <f>VLOOKUP(X7,$A$5:$I$8,2,FALSE)</f>
        <v>0</v>
      </c>
      <c r="Z7" s="12">
        <f>VLOOKUP(X7,$A$5:$I$8,9,FALSE)</f>
        <v>0</v>
      </c>
      <c r="AA7" s="12"/>
      <c r="AB7" s="12" t="str">
        <f>IF(AND(Y7=Y6,Z7&gt;Z6),X6,X7)</f>
        <v>México</v>
      </c>
      <c r="AC7" s="12">
        <f>VLOOKUP(AB7,$A$5:$I$8,2,FALSE)</f>
        <v>0</v>
      </c>
      <c r="AD7" s="12">
        <f>VLOOKUP(AB7,$A$5:$I$8,9,FALSE)</f>
        <v>0</v>
      </c>
      <c r="AE7" s="12">
        <f>VLOOKUP(AB7,$A$5:$I$8,7,FALSE)</f>
        <v>0</v>
      </c>
      <c r="AF7" s="12" t="str">
        <f>IF(AND(AC7=AC8,AD7=AD8,AE8&gt;AE7),AB8,AB7)</f>
        <v>México</v>
      </c>
      <c r="AG7" s="12">
        <f>VLOOKUP(AF7,$A$5:$I$8,2,FALSE)</f>
        <v>0</v>
      </c>
      <c r="AH7" s="12">
        <f>VLOOKUP(AF7,$A$5:$I$8,9,FALSE)</f>
        <v>0</v>
      </c>
      <c r="AI7" s="12">
        <f>VLOOKUP(AF7,$A$5:$I$8,7,FALSE)</f>
        <v>0</v>
      </c>
      <c r="AJ7" s="12" t="str">
        <f>IF(AND(AG7=AG5,AH7=AH5,AI7&gt;AI5),AF5,AF7)</f>
        <v>México</v>
      </c>
      <c r="AK7" s="12">
        <f>VLOOKUP(AJ7,$A$5:$I$8,2,FALSE)</f>
        <v>0</v>
      </c>
      <c r="AL7" s="12">
        <f>VLOOKUP(AJ7,$A$5:$I$8,9,FALSE)</f>
        <v>0</v>
      </c>
      <c r="AM7" s="12">
        <f>VLOOKUP(AJ7,$A$5:$I$8,7,FALSE)</f>
        <v>0</v>
      </c>
      <c r="AN7" s="12" t="str">
        <f>IF(AND(AK7=AK6,AL7=AL6,AM7&gt;AM6),AJ6,AJ7)</f>
        <v>México</v>
      </c>
      <c r="AO7" s="12">
        <f>VLOOKUP(AN7,$A$5:$I$8,2,FALSE)</f>
        <v>0</v>
      </c>
      <c r="AP7" s="12">
        <f>IF(Tabela!O2="www.guiadecompra.com",VLOOKUP(AN7,$A$5:$I$8,9,FALSE),0)</f>
        <v>0</v>
      </c>
      <c r="AQ7" s="12">
        <f>VLOOKUP(AN7,$A$5:$I$8,7,FALSE)</f>
        <v>0</v>
      </c>
      <c r="AR7" s="13"/>
    </row>
    <row r="8" spans="1:44" x14ac:dyDescent="0.2">
      <c r="A8" s="44" t="str">
        <f>info!C6</f>
        <v>Camarões</v>
      </c>
      <c r="B8" s="45">
        <f>IF(Copa=FIFA,SUM(D8*3)+E8,0)</f>
        <v>0</v>
      </c>
      <c r="C8" s="46">
        <f>COUNT(Tabela!J7,Tabela!J9,Tabela!J10)</f>
        <v>0</v>
      </c>
      <c r="D8" s="46">
        <f>SUM(IF(Tabela!$J$7&gt;Tabela!$H$7,COUNT(Tabela!$J$7)),IF(Tabela!$J$9&gt;Tabela!$H$9,COUNT(Tabela!$J$9)),IF(Tabela!$J$10&gt;Tabela!$H$10,COUNT(Tabela!$J$10)))</f>
        <v>0</v>
      </c>
      <c r="E8" s="46">
        <f>SUM(IF(Tabela!$J$7=Tabela!$H$7,COUNT(Tabela!$J$7)),IF(Tabela!$J$9=Tabela!$H$9,COUNT(Tabela!$J$9)),IF(Tabela!$J$10=Tabela!$H$10,COUNT(Tabela!$J$10)))</f>
        <v>0</v>
      </c>
      <c r="F8" s="46">
        <f>SUM(IF(Tabela!$J$7&lt;Tabela!$H$7,COUNT(Tabela!$J$7)),IF(Tabela!$J$9&lt;Tabela!$H$9,COUNT(Tabela!$J$9)),IF(Tabela!$J$10&lt;Tabela!$H$10,COUNT(Tabela!$J$10)))</f>
        <v>0</v>
      </c>
      <c r="G8" s="46">
        <f>SUM(Tabela!J7+Tabela!J9+Tabela!J10)</f>
        <v>0</v>
      </c>
      <c r="H8" s="46">
        <f>SUM(Tabela!H7+Tabela!H9+Tabela!H10)</f>
        <v>0</v>
      </c>
      <c r="I8" s="46">
        <f>IF(BR20I4=Tabela!D2,SUM(G8-H8),"X")</f>
        <v>0</v>
      </c>
      <c r="J8" s="14"/>
      <c r="K8" s="12" t="str">
        <f>IF(B8&lt;=B7,A8,A7)</f>
        <v>Camarões</v>
      </c>
      <c r="L8" s="12">
        <f>VLOOKUP(K8,$A$5:$I$8,2,FALSE)</f>
        <v>0</v>
      </c>
      <c r="M8" s="12"/>
      <c r="N8" s="12" t="str">
        <f>IF(L8&lt;=L6,K8,K6)</f>
        <v>Camarões</v>
      </c>
      <c r="O8" s="12">
        <f>VLOOKUP(N8,$A$5:$I$8,2,FALSE)</f>
        <v>0</v>
      </c>
      <c r="P8" s="12"/>
      <c r="Q8" s="12" t="str">
        <f>IF(O8&lt;=O5,N8,N5)</f>
        <v>Camarões</v>
      </c>
      <c r="R8" s="12">
        <f>VLOOKUP(Q8,$A$5:$I$8,2,FALSE)</f>
        <v>0</v>
      </c>
      <c r="S8" s="12">
        <f>VLOOKUP(Q8,$A$5:$I$8,9,FALSE)</f>
        <v>0</v>
      </c>
      <c r="T8" s="12"/>
      <c r="U8" s="12" t="str">
        <f>IF(AND(R7=R8,S8&gt;S7),Q7,Q8)</f>
        <v>Camarões</v>
      </c>
      <c r="V8" s="12">
        <f>VLOOKUP(U8,$A$5:$I$8,2,FALSE)</f>
        <v>0</v>
      </c>
      <c r="W8" s="12">
        <f>VLOOKUP(U8,$A$5:$I$8,9,FALSE)</f>
        <v>0</v>
      </c>
      <c r="X8" s="12" t="str">
        <f>IF(AND(V6=V8,W8&gt;W6),U6,U8)</f>
        <v>Camarões</v>
      </c>
      <c r="Y8" s="12">
        <f>VLOOKUP(X8,$A$5:$I$8,2,FALSE)</f>
        <v>0</v>
      </c>
      <c r="Z8" s="12">
        <f>VLOOKUP(X8,$A$5:$I$8,9,FALSE)</f>
        <v>0</v>
      </c>
      <c r="AA8" s="12"/>
      <c r="AB8" s="12" t="str">
        <f>IF(AND(Y8=Y5,Z8&gt;Z5),X5,X8)</f>
        <v>Camarões</v>
      </c>
      <c r="AC8" s="12">
        <f>VLOOKUP(AB8,$A$5:$I$8,2,FALSE)</f>
        <v>0</v>
      </c>
      <c r="AD8" s="12">
        <f>VLOOKUP(AB8,$A$5:$I$8,9,FALSE)</f>
        <v>0</v>
      </c>
      <c r="AE8" s="12">
        <f>VLOOKUP(AB8,$A$5:$I$8,7,FALSE)</f>
        <v>0</v>
      </c>
      <c r="AF8" s="12" t="str">
        <f>IF(AND(AC8=AC7,AD8=AD7,AE8&gt;AE7),X7,X8)</f>
        <v>Camarões</v>
      </c>
      <c r="AG8" s="12">
        <f>VLOOKUP(AF8,$A$5:$I$8,2,FALSE)</f>
        <v>0</v>
      </c>
      <c r="AH8" s="12">
        <f>VLOOKUP(AF8,$A$5:$I$8,9,FALSE)</f>
        <v>0</v>
      </c>
      <c r="AI8" s="12">
        <f>VLOOKUP(AF8,$A$5:$I$8,7,FALSE)</f>
        <v>0</v>
      </c>
      <c r="AJ8" s="12" t="str">
        <f>IF(AND(AG6=AG8,AH6=AH8,AI8&gt;AI6),AF6,AF8)</f>
        <v>Camarões</v>
      </c>
      <c r="AK8" s="12">
        <f>VLOOKUP(AJ8,$A$5:$I$8,2,FALSE)</f>
        <v>0</v>
      </c>
      <c r="AL8" s="12">
        <f>VLOOKUP(AJ8,$A$5:$I$8,9,FALSE)</f>
        <v>0</v>
      </c>
      <c r="AM8" s="12">
        <f>VLOOKUP(AJ8,$A$5:$I$8,7,FALSE)</f>
        <v>0</v>
      </c>
      <c r="AN8" s="12" t="str">
        <f>IF(AND(AK8=AK5,AL8=AL5,AM8&gt;AM5),AJ5,AJ8)</f>
        <v>Camarões</v>
      </c>
      <c r="AO8" s="12">
        <f>VLOOKUP(AN8,$A$5:$I$8,2,FALSE)</f>
        <v>0</v>
      </c>
      <c r="AP8" s="12">
        <f>IF(Tabela!O2="www.guiadecompra.com",VLOOKUP(AN8,$A$5:$I$8,9,FALSE),0)</f>
        <v>0</v>
      </c>
      <c r="AQ8" s="12">
        <f>VLOOKUP(AN8,$A$5:$I$8,7,FALSE)</f>
        <v>0</v>
      </c>
      <c r="AR8" s="13"/>
    </row>
    <row r="9" spans="1:44" x14ac:dyDescent="0.2">
      <c r="A9" s="44"/>
      <c r="B9" s="47"/>
      <c r="C9" s="47"/>
      <c r="D9" s="47"/>
      <c r="E9" s="47"/>
      <c r="F9" s="47"/>
      <c r="G9" s="47"/>
      <c r="H9" s="47"/>
      <c r="I9" s="47"/>
      <c r="J9" s="8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3"/>
    </row>
    <row r="10" spans="1:44" x14ac:dyDescent="0.2">
      <c r="A10" s="5"/>
      <c r="B10" s="8"/>
      <c r="C10" s="8"/>
      <c r="D10" s="8"/>
      <c r="E10" s="8"/>
      <c r="F10" s="8"/>
      <c r="G10" s="8"/>
      <c r="H10" s="8"/>
      <c r="I10" s="8"/>
      <c r="J10" s="8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3"/>
    </row>
    <row r="11" spans="1:44" x14ac:dyDescent="0.2">
      <c r="A11" s="5"/>
      <c r="B11" s="343" t="s">
        <v>54</v>
      </c>
      <c r="C11" s="343"/>
      <c r="D11" s="343"/>
      <c r="E11" s="343"/>
      <c r="F11" s="343"/>
      <c r="G11" s="343"/>
      <c r="H11" s="343"/>
      <c r="I11" s="343"/>
      <c r="J11" s="8"/>
      <c r="K11" s="12" t="s">
        <v>49</v>
      </c>
      <c r="L11" s="12"/>
      <c r="M11" s="12"/>
      <c r="N11" s="12" t="s">
        <v>50</v>
      </c>
      <c r="O11" s="12"/>
      <c r="P11" s="12"/>
      <c r="Q11" s="12" t="s">
        <v>51</v>
      </c>
      <c r="R11" s="12"/>
      <c r="S11" s="12"/>
      <c r="T11" s="12"/>
      <c r="U11" s="12" t="s">
        <v>51</v>
      </c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3"/>
    </row>
    <row r="12" spans="1:44" x14ac:dyDescent="0.2">
      <c r="A12" s="41" t="s">
        <v>52</v>
      </c>
      <c r="B12" s="42" t="s">
        <v>6</v>
      </c>
      <c r="C12" s="43" t="s">
        <v>7</v>
      </c>
      <c r="D12" s="43" t="s">
        <v>8</v>
      </c>
      <c r="E12" s="43" t="s">
        <v>9</v>
      </c>
      <c r="F12" s="43" t="s">
        <v>10</v>
      </c>
      <c r="G12" s="43" t="s">
        <v>11</v>
      </c>
      <c r="H12" s="43" t="s">
        <v>12</v>
      </c>
      <c r="I12" s="43" t="s">
        <v>13</v>
      </c>
      <c r="J12" s="15"/>
      <c r="K12" s="12"/>
      <c r="L12" s="12" t="s">
        <v>6</v>
      </c>
      <c r="M12" s="12"/>
      <c r="N12" s="12"/>
      <c r="O12" s="12" t="s">
        <v>53</v>
      </c>
      <c r="P12" s="12"/>
      <c r="Q12" s="12"/>
      <c r="R12" s="12" t="s">
        <v>6</v>
      </c>
      <c r="S12" s="12" t="s">
        <v>13</v>
      </c>
      <c r="T12" s="12"/>
      <c r="U12" s="12"/>
      <c r="V12" s="12" t="s">
        <v>6</v>
      </c>
      <c r="W12" s="12" t="s">
        <v>13</v>
      </c>
      <c r="X12" s="12"/>
      <c r="Y12" s="12" t="s">
        <v>6</v>
      </c>
      <c r="Z12" s="12" t="s">
        <v>13</v>
      </c>
      <c r="AA12" s="12"/>
      <c r="AB12" s="12"/>
      <c r="AC12" s="12" t="s">
        <v>6</v>
      </c>
      <c r="AD12" s="12" t="s">
        <v>13</v>
      </c>
      <c r="AE12" s="12" t="s">
        <v>11</v>
      </c>
      <c r="AF12" s="12"/>
      <c r="AG12" s="12" t="s">
        <v>6</v>
      </c>
      <c r="AH12" s="12" t="s">
        <v>13</v>
      </c>
      <c r="AI12" s="12" t="s">
        <v>11</v>
      </c>
      <c r="AJ12" s="12"/>
      <c r="AK12" s="12" t="s">
        <v>6</v>
      </c>
      <c r="AL12" s="12" t="s">
        <v>13</v>
      </c>
      <c r="AM12" s="12" t="s">
        <v>11</v>
      </c>
      <c r="AN12" s="12"/>
      <c r="AO12" s="12" t="s">
        <v>6</v>
      </c>
      <c r="AP12" s="12" t="s">
        <v>13</v>
      </c>
      <c r="AQ12" s="12" t="s">
        <v>11</v>
      </c>
      <c r="AR12" s="13"/>
    </row>
    <row r="13" spans="1:44" x14ac:dyDescent="0.2">
      <c r="A13" s="44" t="str">
        <f>info!F3</f>
        <v>Espanha</v>
      </c>
      <c r="B13" s="45">
        <f>IF(Copa=FIFA,SUM(D13*3)+E13,0)</f>
        <v>0</v>
      </c>
      <c r="C13" s="46">
        <f>COUNT(Tabela!H14,Tabela!H16,Tabela!H18)</f>
        <v>0</v>
      </c>
      <c r="D13" s="46">
        <f>SUM(IF(Tabela!$H$14&gt;Tabela!$J$14,COUNT(Tabela!$H$14)),IF(Tabela!$H$16&gt;Tabela!$J$16,COUNT(Tabela!$H$16)),IF(Tabela!$H$18&gt;Tabela!$J$18,COUNT(Tabela!$H$18)))</f>
        <v>0</v>
      </c>
      <c r="E13" s="46">
        <f>SUM(IF(Tabela!$H$14=Tabela!$J$14,COUNT(Tabela!$H$14)),IF(Tabela!$H$16=Tabela!$J$16,COUNT(Tabela!$H$16)),IF(Tabela!$H$18=Tabela!$J$18,COUNT(Tabela!$H$18)))</f>
        <v>0</v>
      </c>
      <c r="F13" s="46">
        <f>SUM(IF(Tabela!$H$14&lt;Tabela!$J$14,COUNT(Tabela!$H$14)),IF(Tabela!$H$16&lt;Tabela!$J$16,COUNT(Tabela!$H$16)),IF(Tabela!$H$18&lt;Tabela!$J$18,COUNT(Tabela!$H$18)))</f>
        <v>0</v>
      </c>
      <c r="G13" s="46">
        <f>SUM(Tabela!H14+Tabela!H16+Tabela!H18)</f>
        <v>0</v>
      </c>
      <c r="H13" s="46">
        <f>SUM(Tabela!J14+Tabela!J16+Tabela!J18)</f>
        <v>0</v>
      </c>
      <c r="I13" s="46">
        <f>IF(BR20I4=Tabela!D2,SUM(G13-H13),"X")</f>
        <v>0</v>
      </c>
      <c r="J13" s="14"/>
      <c r="K13" s="12" t="str">
        <f>IF(B13&gt;=B14,A13,A14)</f>
        <v>Espanha</v>
      </c>
      <c r="L13" s="12">
        <f>VLOOKUP(K13,$A$13:$I$16,2,FALSE)</f>
        <v>0</v>
      </c>
      <c r="M13" s="12"/>
      <c r="N13" s="12" t="str">
        <f>IF(L13&gt;=L15,K13,K15)</f>
        <v>Espanha</v>
      </c>
      <c r="O13" s="12">
        <f>VLOOKUP(N13,$A$13:$I$16,2,FALSE)</f>
        <v>0</v>
      </c>
      <c r="P13" s="12"/>
      <c r="Q13" s="12" t="str">
        <f>IF(O13&gt;=O16,N13,N16)</f>
        <v>Espanha</v>
      </c>
      <c r="R13" s="12">
        <f>VLOOKUP(Q13,$A$13:$I$16,2,FALSE)</f>
        <v>0</v>
      </c>
      <c r="S13" s="12">
        <f>VLOOKUP(Q13,$A$13:$I$16,9,FALSE)</f>
        <v>0</v>
      </c>
      <c r="T13" s="12"/>
      <c r="U13" s="12" t="str">
        <f>IF(AND(R13=R14,S14&gt;S13),Q14,Q13)</f>
        <v>Espanha</v>
      </c>
      <c r="V13" s="12">
        <f>VLOOKUP(U13,$A$13:$I$16,2,FALSE)</f>
        <v>0</v>
      </c>
      <c r="W13" s="12">
        <f>VLOOKUP(U13,$A$13:$I$16,9,FALSE)</f>
        <v>0</v>
      </c>
      <c r="X13" s="12" t="str">
        <f>IF(AND(V13=V15,W15&gt;W13),U15,U13)</f>
        <v>Espanha</v>
      </c>
      <c r="Y13" s="12">
        <f>VLOOKUP(X13,$A$13:$I$16,2,FALSE)</f>
        <v>0</v>
      </c>
      <c r="Z13" s="12">
        <f>VLOOKUP(X13,$A$13:$I$16,9,FALSE)</f>
        <v>0</v>
      </c>
      <c r="AA13" s="12"/>
      <c r="AB13" s="12" t="str">
        <f>IF(AND(Y13=Y16,Z16&gt;Z13),X16,X13)</f>
        <v>Espanha</v>
      </c>
      <c r="AC13" s="12">
        <f>VLOOKUP(AB13,$A$13:$I$16,2,FALSE)</f>
        <v>0</v>
      </c>
      <c r="AD13" s="12">
        <f>VLOOKUP(AB13,$A$13:$I$16,9,FALSE)</f>
        <v>0</v>
      </c>
      <c r="AE13" s="12">
        <f>VLOOKUP(AB13,$A$13:$I$16,7,FALSE)</f>
        <v>0</v>
      </c>
      <c r="AF13" s="12" t="str">
        <f>IF(AND(AC13=AC14,AD13=AD14,AE14&gt;AE13),AB14,AB13)</f>
        <v>Espanha</v>
      </c>
      <c r="AG13" s="12">
        <f>VLOOKUP(AF13,$A$13:$I$16,2,FALSE)</f>
        <v>0</v>
      </c>
      <c r="AH13" s="12">
        <f>VLOOKUP(AF13,$A$13:$I$16,9,FALSE)</f>
        <v>0</v>
      </c>
      <c r="AI13" s="12">
        <f>VLOOKUP(AF13,$A$13:$I$16,7,FALSE)</f>
        <v>0</v>
      </c>
      <c r="AJ13" s="12" t="str">
        <f>IF(AND(AG13=AG15,AH13=AH15,AI15&gt;AI13),AF15,AF13)</f>
        <v>Espanha</v>
      </c>
      <c r="AK13" s="12">
        <f>VLOOKUP(AJ13,$A$13:$I$16,2,FALSE)</f>
        <v>0</v>
      </c>
      <c r="AL13" s="12">
        <f>VLOOKUP(AJ13,$A$13:$I$16,9,FALSE)</f>
        <v>0</v>
      </c>
      <c r="AM13" s="12">
        <f>VLOOKUP(AJ13,$A$13:$I$16,7,FALSE)</f>
        <v>0</v>
      </c>
      <c r="AN13" s="12" t="str">
        <f>IF(AND(AK13=AK16,AL13=AL16,AM16&gt;AM13),AJ16,AJ13)</f>
        <v>Espanha</v>
      </c>
      <c r="AO13" s="12">
        <f>VLOOKUP(AN13,$A$13:$I$16,2,FALSE)</f>
        <v>0</v>
      </c>
      <c r="AP13" s="12">
        <f>IF(Tabela!O2="www.guiadecompra.com",VLOOKUP(AN13,$A$13:$I$16,9,FALSE),0)</f>
        <v>0</v>
      </c>
      <c r="AQ13" s="12">
        <f>VLOOKUP(AN13,$A$13:$I$16,7,FALSE)</f>
        <v>0</v>
      </c>
      <c r="AR13" s="13"/>
    </row>
    <row r="14" spans="1:44" x14ac:dyDescent="0.2">
      <c r="A14" s="44" t="str">
        <f>info!F4</f>
        <v>Holanda</v>
      </c>
      <c r="B14" s="45">
        <f>IF(Copa=FIFA,SUM(D14*3)+E14,0)</f>
        <v>0</v>
      </c>
      <c r="C14" s="46">
        <f>COUNT(Tabela!J14,Tabela!H17,Tabela!H19)</f>
        <v>0</v>
      </c>
      <c r="D14" s="46">
        <f>SUM(IF(Tabela!$J$14&gt;Tabela!$H$14,COUNT(Tabela!$J$14)),IF(Tabela!$H$17&gt;Tabela!$J$17,COUNT(Tabela!$H$17)),IF(Tabela!$H$19&gt;Tabela!$J$19,COUNT(Tabela!$H$19)))</f>
        <v>0</v>
      </c>
      <c r="E14" s="46">
        <f>SUM(IF(Tabela!$J$14=Tabela!$H$14,COUNT(Tabela!$J$14)),IF(Tabela!$H$17=Tabela!$J$17,COUNT(Tabela!$H$17)),IF(Tabela!$H$19=Tabela!$J$19,COUNT(Tabela!$H$19)))</f>
        <v>0</v>
      </c>
      <c r="F14" s="46">
        <f>SUM(IF(Tabela!$J$14&lt;Tabela!$H$14,COUNT(Tabela!$J$14)),IF(Tabela!$H$17&lt;Tabela!$J$17,COUNT(Tabela!$H$17)),IF(Tabela!$H$19&lt;Tabela!$J$19,COUNT(Tabela!$H$19)))</f>
        <v>0</v>
      </c>
      <c r="G14" s="46">
        <f>SUM(Tabela!J14+Tabela!H17+Tabela!H19)</f>
        <v>0</v>
      </c>
      <c r="H14" s="46">
        <f>SUM(Tabela!H14+Tabela!J17+Tabela!J19)</f>
        <v>0</v>
      </c>
      <c r="I14" s="46">
        <f>IF(BR20I4=Tabela!D2,SUM(G14-H14),"X")</f>
        <v>0</v>
      </c>
      <c r="J14" s="14"/>
      <c r="K14" s="12" t="str">
        <f>IF(B14&lt;=B13,A14,A13)</f>
        <v>Holanda</v>
      </c>
      <c r="L14" s="12">
        <f>VLOOKUP(K14,$A$13:$I$16,2,FALSE)</f>
        <v>0</v>
      </c>
      <c r="M14" s="12"/>
      <c r="N14" s="12" t="str">
        <f>IF(L14&gt;=L16,K14,K16)</f>
        <v>Holanda</v>
      </c>
      <c r="O14" s="12">
        <f>VLOOKUP(N14,$A$13:$I$16,2,FALSE)</f>
        <v>0</v>
      </c>
      <c r="P14" s="12"/>
      <c r="Q14" s="12" t="str">
        <f>IF(O14&gt;=O15,N14,N15)</f>
        <v>Holanda</v>
      </c>
      <c r="R14" s="12">
        <f>VLOOKUP(Q14,$A$13:$I$16,2,FALSE)</f>
        <v>0</v>
      </c>
      <c r="S14" s="12">
        <f>VLOOKUP(Q14,$A$13:$I$16,9,FALSE)</f>
        <v>0</v>
      </c>
      <c r="T14" s="12"/>
      <c r="U14" s="12" t="str">
        <f>IF(AND(R13=R14,S14&gt;S13),Q13,Q14)</f>
        <v>Holanda</v>
      </c>
      <c r="V14" s="12">
        <f>VLOOKUP(U14,$A$13:$I$16,2,FALSE)</f>
        <v>0</v>
      </c>
      <c r="W14" s="12">
        <f>VLOOKUP(U14,$A$13:$I$16,9,FALSE)</f>
        <v>0</v>
      </c>
      <c r="X14" s="12" t="str">
        <f>IF(AND(V14=V16,W16&gt;W14),U16,U14)</f>
        <v>Holanda</v>
      </c>
      <c r="Y14" s="12">
        <f>VLOOKUP(X14,$A$13:$I$16,2,FALSE)</f>
        <v>0</v>
      </c>
      <c r="Z14" s="12">
        <f>VLOOKUP(X14,$A$13:$I$16,9,FALSE)</f>
        <v>0</v>
      </c>
      <c r="AA14" s="12"/>
      <c r="AB14" s="12" t="str">
        <f>IF(AND(Y14=Y15,Z15&gt;Z14),X15,X14)</f>
        <v>Holanda</v>
      </c>
      <c r="AC14" s="12">
        <f>VLOOKUP(AB14,$A$13:$I$16,2,FALSE)</f>
        <v>0</v>
      </c>
      <c r="AD14" s="12">
        <f>VLOOKUP(AB14,$A$13:$I$16,9,FALSE)</f>
        <v>0</v>
      </c>
      <c r="AE14" s="12">
        <f>VLOOKUP(AB14,$A$13:$I$16,7,FALSE)</f>
        <v>0</v>
      </c>
      <c r="AF14" s="12" t="str">
        <f>IF(AND(AC14=AC13,AD14=AD13,AE14&gt;AE13),AB13,AB14)</f>
        <v>Holanda</v>
      </c>
      <c r="AG14" s="12">
        <f>VLOOKUP(AF14,$A$13:$I$16,2,FALSE)</f>
        <v>0</v>
      </c>
      <c r="AH14" s="12">
        <f>VLOOKUP(AF14,$A$13:$I$16,9,FALSE)</f>
        <v>0</v>
      </c>
      <c r="AI14" s="12">
        <f>VLOOKUP(AF14,$A$13:$I$16,7,FALSE)</f>
        <v>0</v>
      </c>
      <c r="AJ14" s="12" t="str">
        <f>IF(AND(AG14=AG16,AH14=AH16,AI16&gt;AI14),AF16,AF14)</f>
        <v>Holanda</v>
      </c>
      <c r="AK14" s="12">
        <f>VLOOKUP(AJ14,$A$13:$I$16,2,FALSE)</f>
        <v>0</v>
      </c>
      <c r="AL14" s="12">
        <f>VLOOKUP(AJ14,$A$13:$I$16,9,FALSE)</f>
        <v>0</v>
      </c>
      <c r="AM14" s="12">
        <f>VLOOKUP(AJ14,$A$13:$I$16,7,FALSE)</f>
        <v>0</v>
      </c>
      <c r="AN14" s="12" t="str">
        <f>IF(AND(AK14=AK15,AL14=AL15,AM15&gt;AM14),AJ15,AJ14)</f>
        <v>Holanda</v>
      </c>
      <c r="AO14" s="12">
        <f>VLOOKUP(AN14,$A$13:$I$16,2,FALSE)</f>
        <v>0</v>
      </c>
      <c r="AP14" s="12">
        <f>IF(Tabela!O2="www.guiadecompra.com",VLOOKUP(AN14,$A$13:$I$16,9,FALSE),0)</f>
        <v>0</v>
      </c>
      <c r="AQ14" s="12">
        <f>VLOOKUP(AN14,$A$13:$I$16,7,FALSE)</f>
        <v>0</v>
      </c>
      <c r="AR14" s="13"/>
    </row>
    <row r="15" spans="1:44" x14ac:dyDescent="0.2">
      <c r="A15" s="44" t="str">
        <f>info!F5</f>
        <v>Chile</v>
      </c>
      <c r="B15" s="45">
        <f>IF(Copa=FIFA,SUM(D15*3)+E15,0)</f>
        <v>0</v>
      </c>
      <c r="C15" s="46">
        <f>COUNT(Tabela!H15,Tabela!J16,Tabela!J19)</f>
        <v>0</v>
      </c>
      <c r="D15" s="46">
        <f>SUM(IF(Tabela!$H$15&gt;Tabela!$J$15,COUNT(Tabela!$H$15)),IF(Tabela!$J$16&gt;Tabela!$H$16,COUNT(Tabela!$J$16)),IF(Tabela!$J$19&gt;Tabela!$H$19,COUNT(Tabela!$J$19)))</f>
        <v>0</v>
      </c>
      <c r="E15" s="46">
        <f>SUM(IF(Tabela!$H$15=Tabela!$J$15,COUNT(Tabela!$H$15)),IF(Tabela!$J$16=Tabela!$H$16,COUNT(Tabela!$J$16)),IF(Tabela!$J$19=Tabela!$H$19,COUNT(Tabela!$J$19)))</f>
        <v>0</v>
      </c>
      <c r="F15" s="46">
        <f>SUM(IF(Tabela!$H$15&lt;Tabela!$J$15,COUNT(Tabela!$H$15)),IF(Tabela!$J$16&lt;Tabela!$H$16,COUNT(Tabela!$J$16)),IF(Tabela!$J$19&lt;Tabela!$H$19,COUNT(Tabela!$J$19)))</f>
        <v>0</v>
      </c>
      <c r="G15" s="46">
        <f>SUM(Tabela!H15+Tabela!J16+Tabela!J19)</f>
        <v>0</v>
      </c>
      <c r="H15" s="46">
        <f>SUM(Tabela!J15+Tabela!H16+Tabela!H19)</f>
        <v>0</v>
      </c>
      <c r="I15" s="46">
        <f>IF(BR20I4=Tabela!D2,SUM(G15-H15),"X")</f>
        <v>0</v>
      </c>
      <c r="J15" s="14"/>
      <c r="K15" s="12" t="str">
        <f>IF(B15&gt;=B16,A15,A16)</f>
        <v>Chile</v>
      </c>
      <c r="L15" s="12">
        <f>VLOOKUP(K15,$A$13:$I$16,2,FALSE)</f>
        <v>0</v>
      </c>
      <c r="M15" s="12"/>
      <c r="N15" s="12" t="str">
        <f>IF(L15&lt;=L13,K15,K13)</f>
        <v>Chile</v>
      </c>
      <c r="O15" s="12">
        <f>VLOOKUP(N15,$A$13:$I$16,2,FALSE)</f>
        <v>0</v>
      </c>
      <c r="P15" s="12"/>
      <c r="Q15" s="12" t="str">
        <f>IF(O15&lt;=O14,N15,N14)</f>
        <v>Chile</v>
      </c>
      <c r="R15" s="12">
        <f>VLOOKUP(Q15,$A$13:$I$16,2,FALSE)</f>
        <v>0</v>
      </c>
      <c r="S15" s="12">
        <f>VLOOKUP(Q15,$A$13:$I$16,9,FALSE)</f>
        <v>0</v>
      </c>
      <c r="T15" s="12"/>
      <c r="U15" s="12" t="str">
        <f>IF(AND(R15=R16,S16&gt;S15),Q16,Q15)</f>
        <v>Chile</v>
      </c>
      <c r="V15" s="12">
        <f>VLOOKUP(U15,$A$13:$I$16,2,FALSE)</f>
        <v>0</v>
      </c>
      <c r="W15" s="12">
        <f>VLOOKUP(U15,$A$13:$I$16,9,FALSE)</f>
        <v>0</v>
      </c>
      <c r="X15" s="12" t="str">
        <f>IF(AND(V13=V15,W15&gt;W13),U13,U15)</f>
        <v>Chile</v>
      </c>
      <c r="Y15" s="12">
        <f>VLOOKUP(X15,$A$13:$I$16,2,FALSE)</f>
        <v>0</v>
      </c>
      <c r="Z15" s="12">
        <f>VLOOKUP(X15,$A$13:$I$16,9,FALSE)</f>
        <v>0</v>
      </c>
      <c r="AA15" s="12"/>
      <c r="AB15" s="12" t="str">
        <f>IF(AND(Y15=Y14,Z15&gt;Z14),X14,X15)</f>
        <v>Chile</v>
      </c>
      <c r="AC15" s="12">
        <f>VLOOKUP(AB15,$A$13:$I$16,2,FALSE)</f>
        <v>0</v>
      </c>
      <c r="AD15" s="12">
        <f>VLOOKUP(AB15,$A$13:$I$16,9,FALSE)</f>
        <v>0</v>
      </c>
      <c r="AE15" s="12">
        <f>VLOOKUP(AB15,$A$13:$I$16,7,FALSE)</f>
        <v>0</v>
      </c>
      <c r="AF15" s="12" t="str">
        <f>IF(AND(AC15=AC16,AD15=AD16,AE16&gt;AE15),AB16,AB15)</f>
        <v>Chile</v>
      </c>
      <c r="AG15" s="12">
        <f>VLOOKUP(AF15,$A$13:$I$16,2,FALSE)</f>
        <v>0</v>
      </c>
      <c r="AH15" s="12">
        <f>VLOOKUP(AF15,$A$13:$I$16,9,FALSE)</f>
        <v>0</v>
      </c>
      <c r="AI15" s="12">
        <f>VLOOKUP(AF15,$A$13:$I$16,7,FALSE)</f>
        <v>0</v>
      </c>
      <c r="AJ15" s="12" t="str">
        <f>IF(AND(AG15=AG13,AH15=AH13,AI15&gt;AI13),AF13,AF15)</f>
        <v>Chile</v>
      </c>
      <c r="AK15" s="12">
        <f>VLOOKUP(AJ15,$A$13:$I$16,2,FALSE)</f>
        <v>0</v>
      </c>
      <c r="AL15" s="12">
        <f>VLOOKUP(AJ15,$A$13:$I$16,9,FALSE)</f>
        <v>0</v>
      </c>
      <c r="AM15" s="12">
        <f>VLOOKUP(AJ15,$A$13:$I$16,7,FALSE)</f>
        <v>0</v>
      </c>
      <c r="AN15" s="12" t="str">
        <f>IF(AND(AK15=AK14,AL15=AL14,AM15&gt;AM14),AJ14,AJ15)</f>
        <v>Chile</v>
      </c>
      <c r="AO15" s="12">
        <f>VLOOKUP(AN15,$A$13:$I$16,2,FALSE)</f>
        <v>0</v>
      </c>
      <c r="AP15" s="12">
        <f>IF(Tabela!O2="www.guiadecompra.com",VLOOKUP(AN15,$A$13:$I$16,9,FALSE),0)</f>
        <v>0</v>
      </c>
      <c r="AQ15" s="12">
        <f>VLOOKUP(AN15,$A$13:$I$16,7,FALSE)</f>
        <v>0</v>
      </c>
      <c r="AR15" s="13"/>
    </row>
    <row r="16" spans="1:44" x14ac:dyDescent="0.2">
      <c r="A16" s="44" t="str">
        <f>info!F6</f>
        <v>Austrália</v>
      </c>
      <c r="B16" s="45">
        <f>IF(Copa=FIFA,SUM(D16*3)+E16,0)</f>
        <v>0</v>
      </c>
      <c r="C16" s="46">
        <f>COUNT(Tabela!J15,Tabela!J17,Tabela!J18)</f>
        <v>0</v>
      </c>
      <c r="D16" s="46">
        <f>SUM(IF(Tabela!$J$15&gt;Tabela!$H$15,COUNT(Tabela!$J$15)),IF(Tabela!$J$17&gt;Tabela!$H$17,COUNT(Tabela!$J$17)),IF(Tabela!$J$18&gt;Tabela!$H$18,COUNT(Tabela!$J$18)))</f>
        <v>0</v>
      </c>
      <c r="E16" s="46">
        <f>SUM(IF(Tabela!$J$15=Tabela!$H$15,COUNT(Tabela!$J$15)),IF(Tabela!$J$17=Tabela!$H$17,COUNT(Tabela!$J$17)),IF(Tabela!$J$18=Tabela!$H$18,COUNT(Tabela!$J$18)))</f>
        <v>0</v>
      </c>
      <c r="F16" s="46">
        <f>SUM(IF(Tabela!$J$15&lt;Tabela!$H$15,COUNT(Tabela!$J$15)),IF(Tabela!$J$17&lt;Tabela!$H$17,COUNT(Tabela!$J$17)),IF(Tabela!$J$18&lt;Tabela!$H$18,COUNT(Tabela!$J$18)))</f>
        <v>0</v>
      </c>
      <c r="G16" s="46">
        <f>SUM(Tabela!J15+Tabela!J17+Tabela!J18)</f>
        <v>0</v>
      </c>
      <c r="H16" s="46">
        <f>SUM(Tabela!H15+Tabela!H17+Tabela!H18)</f>
        <v>0</v>
      </c>
      <c r="I16" s="46">
        <f>IF(BR20I4=Tabela!D2,SUM(G16-H16),"X")</f>
        <v>0</v>
      </c>
      <c r="J16" s="14"/>
      <c r="K16" s="12" t="str">
        <f>IF(B16&lt;=B15,A16,A15)</f>
        <v>Austrália</v>
      </c>
      <c r="L16" s="12">
        <f>VLOOKUP(K16,$A$13:$I$16,2,FALSE)</f>
        <v>0</v>
      </c>
      <c r="M16" s="12"/>
      <c r="N16" s="12" t="str">
        <f>IF(L16&lt;=L14,K16,K14)</f>
        <v>Austrália</v>
      </c>
      <c r="O16" s="12">
        <f>VLOOKUP(N16,$A$13:$I$16,2,FALSE)</f>
        <v>0</v>
      </c>
      <c r="P16" s="12"/>
      <c r="Q16" s="12" t="str">
        <f>IF(O16&lt;=O13,N16,N13)</f>
        <v>Austrália</v>
      </c>
      <c r="R16" s="12">
        <f>VLOOKUP(Q16,$A$13:$I$16,2,FALSE)</f>
        <v>0</v>
      </c>
      <c r="S16" s="12">
        <f>VLOOKUP(Q16,$A$13:$I$16,9,FALSE)</f>
        <v>0</v>
      </c>
      <c r="T16" s="12"/>
      <c r="U16" s="12" t="str">
        <f>IF(AND(R15=R16,S16&gt;S15),Q15,Q16)</f>
        <v>Austrália</v>
      </c>
      <c r="V16" s="12">
        <f>VLOOKUP(U16,$A$13:$I$16,2,FALSE)</f>
        <v>0</v>
      </c>
      <c r="W16" s="12">
        <f>VLOOKUP(U16,$A$13:$I$16,9,FALSE)</f>
        <v>0</v>
      </c>
      <c r="X16" s="12" t="str">
        <f>IF(AND(V14=V16,W16&gt;W14),U14,U16)</f>
        <v>Austrália</v>
      </c>
      <c r="Y16" s="12">
        <f>VLOOKUP(X16,$A$13:$I$16,2,FALSE)</f>
        <v>0</v>
      </c>
      <c r="Z16" s="12">
        <f>VLOOKUP(X16,$A$13:$I$16,9,FALSE)</f>
        <v>0</v>
      </c>
      <c r="AA16" s="12"/>
      <c r="AB16" s="12" t="str">
        <f>IF(AND(Y16=Y13,Z16&gt;Z13),X13,X16)</f>
        <v>Austrália</v>
      </c>
      <c r="AC16" s="12">
        <f>VLOOKUP(AB16,$A$13:$I$16,2,FALSE)</f>
        <v>0</v>
      </c>
      <c r="AD16" s="12">
        <f>VLOOKUP(AB16,$A$13:$I$16,9,FALSE)</f>
        <v>0</v>
      </c>
      <c r="AE16" s="12">
        <f>VLOOKUP(AB16,$A$13:$I$16,7,FALSE)</f>
        <v>0</v>
      </c>
      <c r="AF16" s="12" t="str">
        <f>IF(AND(AC16=AC15,AD16=AD15,AE16&gt;AE15),X15,X16)</f>
        <v>Austrália</v>
      </c>
      <c r="AG16" s="12">
        <f>VLOOKUP(AF16,$A$13:$I$16,2,FALSE)</f>
        <v>0</v>
      </c>
      <c r="AH16" s="12">
        <f>VLOOKUP(AF16,$A$13:$I$16,9,FALSE)</f>
        <v>0</v>
      </c>
      <c r="AI16" s="12">
        <f>VLOOKUP(AF16,$A$13:$I$16,7,FALSE)</f>
        <v>0</v>
      </c>
      <c r="AJ16" s="12" t="str">
        <f>IF(AND(AG14=AG16,AH14=AH16,AI16&gt;AI14),AF14,AF16)</f>
        <v>Austrália</v>
      </c>
      <c r="AK16" s="12">
        <f>VLOOKUP(AJ16,$A$13:$I$16,2,FALSE)</f>
        <v>0</v>
      </c>
      <c r="AL16" s="12">
        <f>VLOOKUP(AJ16,$A$13:$I$16,9,FALSE)</f>
        <v>0</v>
      </c>
      <c r="AM16" s="12">
        <f>VLOOKUP(AJ16,$A$13:$I$16,7,FALSE)</f>
        <v>0</v>
      </c>
      <c r="AN16" s="12" t="str">
        <f>IF(AND(AK16=AK13,AL16=AL13,AM16&gt;AM13),AJ13,AJ16)</f>
        <v>Austrália</v>
      </c>
      <c r="AO16" s="12">
        <f>VLOOKUP(AN16,$A$13:$I$16,2,FALSE)</f>
        <v>0</v>
      </c>
      <c r="AP16" s="12">
        <f>IF(Tabela!O2="www.guiadecompra.com",VLOOKUP(AN16,$A$13:$I$16,9,FALSE),0)</f>
        <v>0</v>
      </c>
      <c r="AQ16" s="12">
        <f>VLOOKUP(AN16,$A$13:$I$16,7,FALSE)</f>
        <v>0</v>
      </c>
      <c r="AR16" s="13"/>
    </row>
    <row r="17" spans="1:44" x14ac:dyDescent="0.2">
      <c r="A17" s="5"/>
      <c r="B17" s="8"/>
      <c r="C17" s="8"/>
      <c r="D17" s="8"/>
      <c r="E17" s="8"/>
      <c r="F17" s="8"/>
      <c r="G17" s="8"/>
      <c r="H17" s="8"/>
      <c r="I17" s="8"/>
      <c r="J17" s="8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3"/>
    </row>
    <row r="18" spans="1:44" x14ac:dyDescent="0.2">
      <c r="A18" s="5"/>
      <c r="B18" s="8"/>
      <c r="C18" s="8"/>
      <c r="D18" s="8"/>
      <c r="E18" s="8"/>
      <c r="F18" s="8"/>
      <c r="G18" s="8"/>
      <c r="H18" s="8"/>
      <c r="I18" s="8"/>
      <c r="J18" s="8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3"/>
    </row>
    <row r="19" spans="1:44" x14ac:dyDescent="0.2">
      <c r="A19" s="5"/>
      <c r="B19" s="343" t="s">
        <v>55</v>
      </c>
      <c r="C19" s="343"/>
      <c r="D19" s="343"/>
      <c r="E19" s="343"/>
      <c r="F19" s="343"/>
      <c r="G19" s="343"/>
      <c r="H19" s="343"/>
      <c r="I19" s="343"/>
      <c r="J19" s="8"/>
      <c r="K19" s="12" t="s">
        <v>49</v>
      </c>
      <c r="L19" s="12"/>
      <c r="M19" s="12"/>
      <c r="N19" s="12" t="s">
        <v>50</v>
      </c>
      <c r="O19" s="12"/>
      <c r="P19" s="12"/>
      <c r="Q19" s="12" t="s">
        <v>51</v>
      </c>
      <c r="R19" s="12"/>
      <c r="S19" s="12"/>
      <c r="T19" s="12"/>
      <c r="U19" s="12" t="s">
        <v>51</v>
      </c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3"/>
    </row>
    <row r="20" spans="1:44" x14ac:dyDescent="0.2">
      <c r="A20" s="41" t="s">
        <v>52</v>
      </c>
      <c r="B20" s="42" t="s">
        <v>6</v>
      </c>
      <c r="C20" s="43" t="s">
        <v>7</v>
      </c>
      <c r="D20" s="43" t="s">
        <v>8</v>
      </c>
      <c r="E20" s="43" t="s">
        <v>9</v>
      </c>
      <c r="F20" s="43" t="s">
        <v>10</v>
      </c>
      <c r="G20" s="43" t="s">
        <v>11</v>
      </c>
      <c r="H20" s="43" t="s">
        <v>12</v>
      </c>
      <c r="I20" s="43" t="s">
        <v>13</v>
      </c>
      <c r="J20" s="15"/>
      <c r="K20" s="12"/>
      <c r="L20" s="12" t="s">
        <v>6</v>
      </c>
      <c r="M20" s="12"/>
      <c r="N20" s="12"/>
      <c r="O20" s="12" t="s">
        <v>53</v>
      </c>
      <c r="P20" s="12"/>
      <c r="Q20" s="12"/>
      <c r="R20" s="12" t="s">
        <v>6</v>
      </c>
      <c r="S20" s="12" t="s">
        <v>13</v>
      </c>
      <c r="T20" s="12"/>
      <c r="U20" s="12"/>
      <c r="V20" s="12" t="s">
        <v>6</v>
      </c>
      <c r="W20" s="12" t="s">
        <v>13</v>
      </c>
      <c r="X20" s="12"/>
      <c r="Y20" s="12" t="s">
        <v>6</v>
      </c>
      <c r="Z20" s="12" t="s">
        <v>13</v>
      </c>
      <c r="AA20" s="12"/>
      <c r="AB20" s="12"/>
      <c r="AC20" s="12" t="s">
        <v>6</v>
      </c>
      <c r="AD20" s="12" t="s">
        <v>13</v>
      </c>
      <c r="AE20" s="12" t="s">
        <v>11</v>
      </c>
      <c r="AF20" s="12"/>
      <c r="AG20" s="12" t="s">
        <v>6</v>
      </c>
      <c r="AH20" s="12" t="s">
        <v>13</v>
      </c>
      <c r="AI20" s="12" t="s">
        <v>11</v>
      </c>
      <c r="AJ20" s="12"/>
      <c r="AK20" s="12" t="s">
        <v>6</v>
      </c>
      <c r="AL20" s="12" t="s">
        <v>13</v>
      </c>
      <c r="AM20" s="12" t="s">
        <v>11</v>
      </c>
      <c r="AN20" s="12"/>
      <c r="AO20" s="12" t="s">
        <v>6</v>
      </c>
      <c r="AP20" s="12" t="s">
        <v>13</v>
      </c>
      <c r="AQ20" s="12" t="s">
        <v>11</v>
      </c>
      <c r="AR20" s="13"/>
    </row>
    <row r="21" spans="1:44" x14ac:dyDescent="0.2">
      <c r="A21" s="44" t="str">
        <f>info!I3</f>
        <v>Colômbia</v>
      </c>
      <c r="B21" s="45">
        <f>IF(Copa=FIFA,SUM(D21*3)+E21,0)</f>
        <v>0</v>
      </c>
      <c r="C21" s="46">
        <f>COUNT(Tabela!H22,Tabela!H24,Tabela!H26)</f>
        <v>0</v>
      </c>
      <c r="D21" s="46">
        <f>SUM(IF(Tabela!$H$22&gt;Tabela!$J$22,COUNT(Tabela!$H$22)),IF(Tabela!$H$24&gt;Tabela!$J$24,COUNT(Tabela!$H$24)),IF(Tabela!$H$26&gt;Tabela!$J$26,COUNT(Tabela!$H$26)))</f>
        <v>0</v>
      </c>
      <c r="E21" s="46">
        <f>SUM(IF(Tabela!$H$22=Tabela!$J$22,COUNT(Tabela!$H$22)),IF(Tabela!$H$24=Tabela!$J$24,COUNT(Tabela!$H$24)),IF(Tabela!$H$26=Tabela!$J$26,COUNT(Tabela!$H$26)))</f>
        <v>0</v>
      </c>
      <c r="F21" s="46">
        <f>SUM(IF(Tabela!$H$22&lt;Tabela!$J$22,COUNT(Tabela!$H$22)),IF(Tabela!$H$24&lt;Tabela!$J$24,COUNT(Tabela!$H$24)),IF(Tabela!$H$26&lt;Tabela!$J$26,COUNT(Tabela!$H$26)))</f>
        <v>0</v>
      </c>
      <c r="G21" s="46">
        <f>SUM(Tabela!H22+Tabela!H24+Tabela!H26)</f>
        <v>0</v>
      </c>
      <c r="H21" s="46">
        <f>SUM(Tabela!J22+Tabela!J24+Tabela!J26)</f>
        <v>0</v>
      </c>
      <c r="I21" s="46">
        <f>IF(BR20I4=Tabela!D2,SUM(G21-H21),"X")</f>
        <v>0</v>
      </c>
      <c r="J21" s="14"/>
      <c r="K21" s="12" t="str">
        <f>IF(B21&gt;=B22,A21,A22)</f>
        <v>Colômbia</v>
      </c>
      <c r="L21" s="12">
        <f>VLOOKUP(K21,$A$21:$I$24,2,FALSE)</f>
        <v>0</v>
      </c>
      <c r="M21" s="12"/>
      <c r="N21" s="12" t="str">
        <f>IF(L21&gt;=L23,K21,K23)</f>
        <v>Colômbia</v>
      </c>
      <c r="O21" s="12">
        <f>VLOOKUP(N21,$A$21:$I$24,2,FALSE)</f>
        <v>0</v>
      </c>
      <c r="P21" s="12"/>
      <c r="Q21" s="12" t="str">
        <f>IF(O21&gt;=O24,N21,N24)</f>
        <v>Colômbia</v>
      </c>
      <c r="R21" s="12">
        <f>VLOOKUP(Q21,$A$21:$I$24,2,FALSE)</f>
        <v>0</v>
      </c>
      <c r="S21" s="12">
        <f>VLOOKUP(Q21,$A$21:$I$24,9,FALSE)</f>
        <v>0</v>
      </c>
      <c r="T21" s="12"/>
      <c r="U21" s="12" t="str">
        <f>IF(AND(R21=R22,S22&gt;S21),Q22,Q21)</f>
        <v>Colômbia</v>
      </c>
      <c r="V21" s="12">
        <f>VLOOKUP(U21,$A$21:$I$24,2,FALSE)</f>
        <v>0</v>
      </c>
      <c r="W21" s="12">
        <f>VLOOKUP(U21,$A$21:$I$24,9,FALSE)</f>
        <v>0</v>
      </c>
      <c r="X21" s="12" t="str">
        <f>IF(AND(V21=V23,W23&gt;W21),U23,U21)</f>
        <v>Colômbia</v>
      </c>
      <c r="Y21" s="12">
        <f>VLOOKUP(X21,$A$21:$I$24,2,FALSE)</f>
        <v>0</v>
      </c>
      <c r="Z21" s="12">
        <f>VLOOKUP(X21,$A$21:$I$24,9,FALSE)</f>
        <v>0</v>
      </c>
      <c r="AA21" s="12"/>
      <c r="AB21" s="12" t="str">
        <f>IF(AND(Y21=Y24,Z24&gt;Z21),X24,X21)</f>
        <v>Colômbia</v>
      </c>
      <c r="AC21" s="12">
        <f>VLOOKUP(AB21,$A$21:$I$24,2,FALSE)</f>
        <v>0</v>
      </c>
      <c r="AD21" s="12">
        <f>VLOOKUP(AB21,$A$21:$I$24,9,FALSE)</f>
        <v>0</v>
      </c>
      <c r="AE21" s="12">
        <f>VLOOKUP(AB21,$A$21:$I$24,7,FALSE)</f>
        <v>0</v>
      </c>
      <c r="AF21" s="12" t="str">
        <f>IF(AND(AC21=AC22,AD21=AD22,AE22&gt;AE21),AB22,AB21)</f>
        <v>Colômbia</v>
      </c>
      <c r="AG21" s="12">
        <f>VLOOKUP(AF21,$A$21:$I$24,2,FALSE)</f>
        <v>0</v>
      </c>
      <c r="AH21" s="12">
        <f>VLOOKUP(AF21,$A$21:$I$24,9,FALSE)</f>
        <v>0</v>
      </c>
      <c r="AI21" s="12">
        <f>VLOOKUP(AF21,$A$21:$I$24,7,FALSE)</f>
        <v>0</v>
      </c>
      <c r="AJ21" s="12" t="str">
        <f>IF(AND(AG21=AG23,AH21=AH23,AI23&gt;AI21),AF23,AF21)</f>
        <v>Colômbia</v>
      </c>
      <c r="AK21" s="12">
        <f>VLOOKUP(AJ21,$A$21:$I$24,2,FALSE)</f>
        <v>0</v>
      </c>
      <c r="AL21" s="12">
        <f>VLOOKUP(AJ21,$A$21:$I$24,9,FALSE)</f>
        <v>0</v>
      </c>
      <c r="AM21" s="12">
        <f>VLOOKUP(AJ21,$A$21:$I$24,7,FALSE)</f>
        <v>0</v>
      </c>
      <c r="AN21" s="12" t="str">
        <f>IF(AND(AK21=AK24,AL21=AL24,AM24&gt;AM21),AJ24,AJ21)</f>
        <v>Colômbia</v>
      </c>
      <c r="AO21" s="12">
        <f>VLOOKUP(AN21,$A$21:$I$24,2,FALSE)</f>
        <v>0</v>
      </c>
      <c r="AP21" s="12">
        <f>IF(Tabela!O2="www.guiadecompra.com",VLOOKUP(AN21,$A$21:$I$24,9,FALSE),0)</f>
        <v>0</v>
      </c>
      <c r="AQ21" s="12">
        <f>VLOOKUP(AN21,$A$21:$I$24,7,FALSE)</f>
        <v>0</v>
      </c>
      <c r="AR21" s="13"/>
    </row>
    <row r="22" spans="1:44" x14ac:dyDescent="0.2">
      <c r="A22" s="44" t="str">
        <f>info!I4</f>
        <v>Grécia</v>
      </c>
      <c r="B22" s="45">
        <f>IF(Copa=FIFA,SUM(D22*3)+E22,0)</f>
        <v>0</v>
      </c>
      <c r="C22" s="46">
        <f>COUNT(Tabela!J22,Tabela!H25,Tabela!H27)</f>
        <v>0</v>
      </c>
      <c r="D22" s="46">
        <f>SUM(IF(Tabela!$J$22&gt;Tabela!$H$22,COUNT(Tabela!$J$22)),IF(Tabela!$H$25&gt;Tabela!$J$25,COUNT(Tabela!$H$25)),IF(Tabela!$H$27&gt;Tabela!$J$27,COUNT(Tabela!$H$27)))</f>
        <v>0</v>
      </c>
      <c r="E22" s="46">
        <f>SUM(IF(Tabela!$J$22=Tabela!$H$22,COUNT(Tabela!$J$22)),IF(Tabela!$H$25=Tabela!$J$25,COUNT(Tabela!$H$25)),IF(Tabela!$H$27=Tabela!$J$27,COUNT(Tabela!$H$27)))</f>
        <v>0</v>
      </c>
      <c r="F22" s="46">
        <f>SUM(IF(Tabela!$J$22&lt;Tabela!$H$22,COUNT(Tabela!$J$22)),IF(Tabela!$H$25&lt;Tabela!$J$25,COUNT(Tabela!$H$25)),IF(Tabela!$H$27&lt;Tabela!$J$27,COUNT(Tabela!$H$27)))</f>
        <v>0</v>
      </c>
      <c r="G22" s="46">
        <f>SUM(Tabela!J22+Tabela!H25+Tabela!H27)</f>
        <v>0</v>
      </c>
      <c r="H22" s="46">
        <f>SUM(Tabela!H22+Tabela!J25+Tabela!J27)</f>
        <v>0</v>
      </c>
      <c r="I22" s="46">
        <f>IF(BR20I4=Tabela!D2,SUM(G22-H22),"X")</f>
        <v>0</v>
      </c>
      <c r="J22" s="14"/>
      <c r="K22" s="12" t="str">
        <f>IF(B22&lt;=B21,A22,A21)</f>
        <v>Grécia</v>
      </c>
      <c r="L22" s="12">
        <f>VLOOKUP(K22,$A$21:$I$24,2,FALSE)</f>
        <v>0</v>
      </c>
      <c r="M22" s="12"/>
      <c r="N22" s="12" t="str">
        <f>IF(L22&gt;=L24,K22,K24)</f>
        <v>Grécia</v>
      </c>
      <c r="O22" s="12">
        <f>VLOOKUP(N22,$A$21:$I$24,2,FALSE)</f>
        <v>0</v>
      </c>
      <c r="P22" s="12"/>
      <c r="Q22" s="12" t="str">
        <f>IF(O22&gt;=O23,N22,N23)</f>
        <v>Grécia</v>
      </c>
      <c r="R22" s="12">
        <f>VLOOKUP(Q22,$A$21:$I$24,2,FALSE)</f>
        <v>0</v>
      </c>
      <c r="S22" s="12">
        <f>VLOOKUP(Q22,$A$21:$I$24,9,FALSE)</f>
        <v>0</v>
      </c>
      <c r="T22" s="12"/>
      <c r="U22" s="12" t="str">
        <f>IF(AND(R21=R22,S22&gt;S21),Q21,Q22)</f>
        <v>Grécia</v>
      </c>
      <c r="V22" s="12">
        <f>VLOOKUP(U22,$A$21:$I$24,2,FALSE)</f>
        <v>0</v>
      </c>
      <c r="W22" s="12">
        <f>VLOOKUP(U22,$A$21:$I$24,9,FALSE)</f>
        <v>0</v>
      </c>
      <c r="X22" s="12" t="str">
        <f>IF(AND(V22=V24,W24&gt;W22),U24,U22)</f>
        <v>Grécia</v>
      </c>
      <c r="Y22" s="12">
        <f>VLOOKUP(X22,$A$21:$I$24,2,FALSE)</f>
        <v>0</v>
      </c>
      <c r="Z22" s="12">
        <f>VLOOKUP(X22,$A$21:$I$24,9,FALSE)</f>
        <v>0</v>
      </c>
      <c r="AA22" s="12"/>
      <c r="AB22" s="12" t="str">
        <f>IF(AND(Y22=Y23,Z23&gt;Z22),X23,X22)</f>
        <v>Grécia</v>
      </c>
      <c r="AC22" s="12">
        <f>VLOOKUP(AB22,$A$21:$I$24,2,FALSE)</f>
        <v>0</v>
      </c>
      <c r="AD22" s="12">
        <f>VLOOKUP(AB22,$A$21:$I$24,9,FALSE)</f>
        <v>0</v>
      </c>
      <c r="AE22" s="12">
        <f>VLOOKUP(AB22,$A$21:$I$24,7,FALSE)</f>
        <v>0</v>
      </c>
      <c r="AF22" s="12" t="str">
        <f>IF(AND(AC22=AC21,AD22=AD21,AE22&gt;AE21),AB21,AB22)</f>
        <v>Grécia</v>
      </c>
      <c r="AG22" s="12">
        <f>VLOOKUP(AF22,$A$21:$I$24,2,FALSE)</f>
        <v>0</v>
      </c>
      <c r="AH22" s="12">
        <f>VLOOKUP(AF22,$A$21:$I$24,9,FALSE)</f>
        <v>0</v>
      </c>
      <c r="AI22" s="12">
        <f>VLOOKUP(AF22,$A$21:$I$24,7,FALSE)</f>
        <v>0</v>
      </c>
      <c r="AJ22" s="12" t="str">
        <f>IF(AND(AG22=AG24,AH22=AH24,AI24&gt;AI22),AF24,AF22)</f>
        <v>Grécia</v>
      </c>
      <c r="AK22" s="12">
        <f>VLOOKUP(AJ22,$A$21:$I$24,2,FALSE)</f>
        <v>0</v>
      </c>
      <c r="AL22" s="12">
        <f>VLOOKUP(AJ22,$A$21:$I$24,9,FALSE)</f>
        <v>0</v>
      </c>
      <c r="AM22" s="12">
        <f>VLOOKUP(AJ22,$A$21:$I$24,7,FALSE)</f>
        <v>0</v>
      </c>
      <c r="AN22" s="12" t="str">
        <f>IF(AND(AK22=AK23,AL22=AL23,AM23&gt;AM22),AJ23,AJ22)</f>
        <v>Grécia</v>
      </c>
      <c r="AO22" s="12">
        <f>VLOOKUP(AN22,$A$21:$I$24,2,FALSE)</f>
        <v>0</v>
      </c>
      <c r="AP22" s="12">
        <f>IF(Tabela!O2="www.guiadecompra.com",VLOOKUP(AN22,$A$21:$I$24,9,FALSE),0)</f>
        <v>0</v>
      </c>
      <c r="AQ22" s="12">
        <f>VLOOKUP(AN22,$A$21:$I$24,7,FALSE)</f>
        <v>0</v>
      </c>
      <c r="AR22" s="13"/>
    </row>
    <row r="23" spans="1:44" x14ac:dyDescent="0.2">
      <c r="A23" s="44" t="str">
        <f>info!I5</f>
        <v>Costa do Marfim</v>
      </c>
      <c r="B23" s="45">
        <f>IF(Copa=FIFA,SUM(D23*3)+E23,0)</f>
        <v>0</v>
      </c>
      <c r="C23" s="46">
        <f>COUNT(Tabela!H23,Tabela!J24,Tabela!J27)</f>
        <v>0</v>
      </c>
      <c r="D23" s="46">
        <f>SUM(IF(Tabela!$H$23&gt;Tabela!$J$23,COUNT(Tabela!$H$23)),IF(Tabela!$J$24&gt;Tabela!$H$24,COUNT(Tabela!$J$24)),IF(Tabela!$J$27&gt;Tabela!$H$27,COUNT(Tabela!$J$27)))</f>
        <v>0</v>
      </c>
      <c r="E23" s="46">
        <f>SUM(IF(Tabela!$H$23=Tabela!$J$23,COUNT(Tabela!$H$23)),IF(Tabela!$J$24=Tabela!$H$24,COUNT(Tabela!$J$24)),IF(Tabela!$J$27=Tabela!$H$27,COUNT(Tabela!$J$27)))</f>
        <v>0</v>
      </c>
      <c r="F23" s="46">
        <f>SUM(IF(Tabela!$H$23&lt;Tabela!$J$23,COUNT(Tabela!$H$23)),IF(Tabela!$J$24&lt;Tabela!$H$24,COUNT(Tabela!$J$24)),IF(Tabela!$J$27&lt;Tabela!$H$27,COUNT(Tabela!$J$27)))</f>
        <v>0</v>
      </c>
      <c r="G23" s="46">
        <f>SUM(Tabela!H23+Tabela!J24+Tabela!J27)</f>
        <v>0</v>
      </c>
      <c r="H23" s="46">
        <f>SUM(Tabela!J23+Tabela!H24+Tabela!H27)</f>
        <v>0</v>
      </c>
      <c r="I23" s="46">
        <f>IF(BR20I4=Tabela!D2,SUM(G23-H23),"X")</f>
        <v>0</v>
      </c>
      <c r="J23" s="14"/>
      <c r="K23" s="12" t="str">
        <f>IF(B23&gt;=B24,A23,A24)</f>
        <v>Costa do Marfim</v>
      </c>
      <c r="L23" s="12">
        <f>VLOOKUP(K23,$A$21:$I$24,2,FALSE)</f>
        <v>0</v>
      </c>
      <c r="M23" s="12"/>
      <c r="N23" s="12" t="str">
        <f>IF(L23&lt;=L21,K23,K21)</f>
        <v>Costa do Marfim</v>
      </c>
      <c r="O23" s="12">
        <f>VLOOKUP(N23,$A$21:$I$24,2,FALSE)</f>
        <v>0</v>
      </c>
      <c r="P23" s="12"/>
      <c r="Q23" s="12" t="str">
        <f>IF(O23&lt;=O22,N23,N22)</f>
        <v>Costa do Marfim</v>
      </c>
      <c r="R23" s="12">
        <f>VLOOKUP(Q23,$A$21:$I$24,2,FALSE)</f>
        <v>0</v>
      </c>
      <c r="S23" s="12">
        <f>VLOOKUP(Q23,$A$21:$I$24,9,FALSE)</f>
        <v>0</v>
      </c>
      <c r="T23" s="12"/>
      <c r="U23" s="12" t="str">
        <f>IF(AND(R23=R24,S24&gt;S23),Q24,Q23)</f>
        <v>Costa do Marfim</v>
      </c>
      <c r="V23" s="12">
        <f>VLOOKUP(U23,$A$21:$I$24,2,FALSE)</f>
        <v>0</v>
      </c>
      <c r="W23" s="12">
        <f>VLOOKUP(U23,$A$21:$I$24,9,FALSE)</f>
        <v>0</v>
      </c>
      <c r="X23" s="12" t="str">
        <f>IF(AND(V21=V23,W23&gt;W21),U21,U23)</f>
        <v>Costa do Marfim</v>
      </c>
      <c r="Y23" s="12">
        <f>VLOOKUP(X23,$A$21:$I$24,2,FALSE)</f>
        <v>0</v>
      </c>
      <c r="Z23" s="12">
        <f>VLOOKUP(X23,$A$21:$I$24,9,FALSE)</f>
        <v>0</v>
      </c>
      <c r="AA23" s="12"/>
      <c r="AB23" s="12" t="str">
        <f>IF(AND(Y23=Y22,Z23&gt;Z22),X22,X23)</f>
        <v>Costa do Marfim</v>
      </c>
      <c r="AC23" s="12">
        <f>VLOOKUP(AB23,$A$21:$I$24,2,FALSE)</f>
        <v>0</v>
      </c>
      <c r="AD23" s="12">
        <f>VLOOKUP(AB23,$A$21:$I$24,9,FALSE)</f>
        <v>0</v>
      </c>
      <c r="AE23" s="12">
        <f>VLOOKUP(AB23,$A$21:$I$24,7,FALSE)</f>
        <v>0</v>
      </c>
      <c r="AF23" s="12" t="str">
        <f>IF(AND(AC23=AC24,AD23=AD24,AE24&gt;AE23),AB24,AB23)</f>
        <v>Costa do Marfim</v>
      </c>
      <c r="AG23" s="12">
        <f>VLOOKUP(AF23,$A$21:$I$24,2,FALSE)</f>
        <v>0</v>
      </c>
      <c r="AH23" s="12">
        <f>VLOOKUP(AF23,$A$21:$I$24,9,FALSE)</f>
        <v>0</v>
      </c>
      <c r="AI23" s="12">
        <f>VLOOKUP(AF23,$A$21:$I$24,7,FALSE)</f>
        <v>0</v>
      </c>
      <c r="AJ23" s="12" t="str">
        <f>IF(AND(AG23=AG21,AH23=AH21,AI23&gt;AI21),AF21,AF23)</f>
        <v>Costa do Marfim</v>
      </c>
      <c r="AK23" s="12">
        <f>VLOOKUP(AJ23,$A$21:$I$24,2,FALSE)</f>
        <v>0</v>
      </c>
      <c r="AL23" s="12">
        <f>VLOOKUP(AJ23,$A$21:$I$24,9,FALSE)</f>
        <v>0</v>
      </c>
      <c r="AM23" s="12">
        <f>VLOOKUP(AJ23,$A$21:$I$24,7,FALSE)</f>
        <v>0</v>
      </c>
      <c r="AN23" s="12" t="str">
        <f>IF(AND(AK23=AK22,AL23=AL22,AM23&gt;AM22),AJ22,AJ23)</f>
        <v>Costa do Marfim</v>
      </c>
      <c r="AO23" s="12">
        <f>VLOOKUP(AN23,$A$21:$I$24,2,FALSE)</f>
        <v>0</v>
      </c>
      <c r="AP23" s="12">
        <f>IF(Tabela!O2="www.guiadecompra.com",VLOOKUP(AN23,$A$21:$I$24,9,FALSE),0)</f>
        <v>0</v>
      </c>
      <c r="AQ23" s="12">
        <f>VLOOKUP(AN23,$A$21:$I$24,7,FALSE)</f>
        <v>0</v>
      </c>
      <c r="AR23" s="13"/>
    </row>
    <row r="24" spans="1:44" x14ac:dyDescent="0.2">
      <c r="A24" s="44" t="str">
        <f>info!I6</f>
        <v>Japão</v>
      </c>
      <c r="B24" s="45">
        <f>IF(Copa=FIFA,SUM(D24*3)+E24,0)</f>
        <v>0</v>
      </c>
      <c r="C24" s="46">
        <f>COUNT(Tabela!J23,Tabela!J25,Tabela!J26)</f>
        <v>0</v>
      </c>
      <c r="D24" s="46">
        <f>SUM(IF(Tabela!$J$23&gt;Tabela!$H$23,COUNT(Tabela!$J$23)),IF(Tabela!$J$25&gt;Tabela!$H$25,COUNT(Tabela!$J$25)),IF(Tabela!$J$26&gt;Tabela!$H$26,COUNT(Tabela!$J$26)))</f>
        <v>0</v>
      </c>
      <c r="E24" s="46">
        <f>SUM(IF(Tabela!$J$23=Tabela!$H$23,COUNT(Tabela!$J$23)),IF(Tabela!$J$25=Tabela!$H$25,COUNT(Tabela!$J$25)),IF(Tabela!$J$26=Tabela!$H$26,COUNT(Tabela!$J$26)))</f>
        <v>0</v>
      </c>
      <c r="F24" s="46">
        <f>SUM(IF(Tabela!$J$23&lt;Tabela!$H$23,COUNT(Tabela!$J$23)),IF(Tabela!$J$25&lt;Tabela!$H$25,COUNT(Tabela!$J$25)),IF(Tabela!$J$26&lt;Tabela!$H$26,COUNT(Tabela!$J$26)))</f>
        <v>0</v>
      </c>
      <c r="G24" s="46">
        <f>SUM(Tabela!J23+Tabela!J25+Tabela!J26)</f>
        <v>0</v>
      </c>
      <c r="H24" s="46">
        <f>SUM(Tabela!H23+Tabela!H25+Tabela!H26)</f>
        <v>0</v>
      </c>
      <c r="I24" s="46">
        <f>IF(BR20I4=Tabela!D2,SUM(G24-H24),"X")</f>
        <v>0</v>
      </c>
      <c r="J24" s="14"/>
      <c r="K24" s="12" t="str">
        <f>IF(B24&lt;=B23,A24,A23)</f>
        <v>Japão</v>
      </c>
      <c r="L24" s="12">
        <f>VLOOKUP(K24,$A$21:$I$24,2,FALSE)</f>
        <v>0</v>
      </c>
      <c r="M24" s="12"/>
      <c r="N24" s="12" t="str">
        <f>IF(L24&lt;=L22,K24,K22)</f>
        <v>Japão</v>
      </c>
      <c r="O24" s="12">
        <f>VLOOKUP(N24,$A$21:$I$24,2,FALSE)</f>
        <v>0</v>
      </c>
      <c r="P24" s="12"/>
      <c r="Q24" s="12" t="str">
        <f>IF(O24&lt;=O21,N24,N21)</f>
        <v>Japão</v>
      </c>
      <c r="R24" s="12">
        <f>VLOOKUP(Q24,$A$21:$I$24,2,FALSE)</f>
        <v>0</v>
      </c>
      <c r="S24" s="12">
        <f>VLOOKUP(Q24,$A$21:$I$24,9,FALSE)</f>
        <v>0</v>
      </c>
      <c r="T24" s="12"/>
      <c r="U24" s="12" t="str">
        <f>IF(AND(R23=R24,S24&gt;S23),Q23,Q24)</f>
        <v>Japão</v>
      </c>
      <c r="V24" s="12">
        <f>VLOOKUP(U24,$A$21:$I$24,2,FALSE)</f>
        <v>0</v>
      </c>
      <c r="W24" s="12">
        <f>VLOOKUP(U24,$A$21:$I$24,9,FALSE)</f>
        <v>0</v>
      </c>
      <c r="X24" s="12" t="str">
        <f>IF(AND(V22=V24,W24&gt;W22),U22,U24)</f>
        <v>Japão</v>
      </c>
      <c r="Y24" s="12">
        <f>VLOOKUP(X24,$A$21:$I$24,2,FALSE)</f>
        <v>0</v>
      </c>
      <c r="Z24" s="12">
        <f>VLOOKUP(X24,$A$21:$I$24,9,FALSE)</f>
        <v>0</v>
      </c>
      <c r="AA24" s="12"/>
      <c r="AB24" s="12" t="str">
        <f>IF(AND(Y24=Y21,Z24&gt;Z21),X21,X24)</f>
        <v>Japão</v>
      </c>
      <c r="AC24" s="12">
        <f>VLOOKUP(AB24,$A$21:$I$24,2,FALSE)</f>
        <v>0</v>
      </c>
      <c r="AD24" s="12">
        <f>VLOOKUP(AB24,$A$21:$I$24,9,FALSE)</f>
        <v>0</v>
      </c>
      <c r="AE24" s="12">
        <f>VLOOKUP(AB24,$A$21:$I$24,7,FALSE)</f>
        <v>0</v>
      </c>
      <c r="AF24" s="12" t="str">
        <f>IF(AND(AC24=AC23,AD24=AD23,AE24&gt;AE23),X23,X24)</f>
        <v>Japão</v>
      </c>
      <c r="AG24" s="12">
        <f>VLOOKUP(AF24,$A$21:$I$24,2,FALSE)</f>
        <v>0</v>
      </c>
      <c r="AH24" s="12">
        <f>VLOOKUP(AF24,$A$21:$I$24,9,FALSE)</f>
        <v>0</v>
      </c>
      <c r="AI24" s="12">
        <f>VLOOKUP(AF24,$A$21:$I$24,7,FALSE)</f>
        <v>0</v>
      </c>
      <c r="AJ24" s="12" t="str">
        <f>IF(AND(AG22=AG24,AH22=AH24,AI24&gt;AI22),AF22,AF24)</f>
        <v>Japão</v>
      </c>
      <c r="AK24" s="12">
        <f>VLOOKUP(AJ24,$A$21:$I$24,2,FALSE)</f>
        <v>0</v>
      </c>
      <c r="AL24" s="12">
        <f>VLOOKUP(AJ24,$A$21:$I$24,9,FALSE)</f>
        <v>0</v>
      </c>
      <c r="AM24" s="12">
        <f>VLOOKUP(AJ24,$A$21:$I$24,7,FALSE)</f>
        <v>0</v>
      </c>
      <c r="AN24" s="12" t="str">
        <f>IF(AND(AK24=AK21,AL24=AL21,AM24&gt;AM21),AJ21,AJ24)</f>
        <v>Japão</v>
      </c>
      <c r="AO24" s="12">
        <f>VLOOKUP(AN24,$A$21:$I$24,2,FALSE)</f>
        <v>0</v>
      </c>
      <c r="AP24" s="12">
        <f>IF(Tabela!O2="www.guiadecompra.com",VLOOKUP(AN24,$A$21:$I$24,9,FALSE),0)</f>
        <v>0</v>
      </c>
      <c r="AQ24" s="12">
        <f>VLOOKUP(AN24,$A$21:$I$24,7,FALSE)</f>
        <v>0</v>
      </c>
      <c r="AR24" s="13"/>
    </row>
    <row r="25" spans="1:44" x14ac:dyDescent="0.2">
      <c r="A25" s="5"/>
      <c r="B25" s="8"/>
      <c r="C25" s="8"/>
      <c r="D25" s="8"/>
      <c r="E25" s="8"/>
      <c r="F25" s="8"/>
      <c r="G25" s="8"/>
      <c r="H25" s="8"/>
      <c r="I25" s="8"/>
      <c r="J25" s="8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3"/>
    </row>
    <row r="26" spans="1:44" x14ac:dyDescent="0.2">
      <c r="A26" s="5"/>
      <c r="B26" s="8"/>
      <c r="C26" s="8"/>
      <c r="D26" s="8"/>
      <c r="E26" s="8"/>
      <c r="F26" s="8"/>
      <c r="G26" s="8"/>
      <c r="H26" s="8"/>
      <c r="I26" s="8"/>
      <c r="J26" s="8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3"/>
    </row>
    <row r="27" spans="1:44" x14ac:dyDescent="0.2">
      <c r="A27" s="5"/>
      <c r="B27" s="343" t="s">
        <v>56</v>
      </c>
      <c r="C27" s="343"/>
      <c r="D27" s="343"/>
      <c r="E27" s="343"/>
      <c r="F27" s="343"/>
      <c r="G27" s="343"/>
      <c r="H27" s="343"/>
      <c r="I27" s="343"/>
      <c r="J27" s="8"/>
      <c r="K27" s="12" t="s">
        <v>49</v>
      </c>
      <c r="L27" s="12"/>
      <c r="M27" s="12"/>
      <c r="N27" s="12" t="s">
        <v>50</v>
      </c>
      <c r="O27" s="12"/>
      <c r="P27" s="12"/>
      <c r="Q27" s="12" t="s">
        <v>51</v>
      </c>
      <c r="R27" s="12"/>
      <c r="S27" s="12"/>
      <c r="T27" s="12"/>
      <c r="U27" s="12" t="s">
        <v>51</v>
      </c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3"/>
    </row>
    <row r="28" spans="1:44" x14ac:dyDescent="0.2">
      <c r="A28" s="41" t="s">
        <v>52</v>
      </c>
      <c r="B28" s="42" t="s">
        <v>6</v>
      </c>
      <c r="C28" s="43" t="s">
        <v>7</v>
      </c>
      <c r="D28" s="43" t="s">
        <v>8</v>
      </c>
      <c r="E28" s="43" t="s">
        <v>9</v>
      </c>
      <c r="F28" s="43" t="s">
        <v>10</v>
      </c>
      <c r="G28" s="43" t="s">
        <v>11</v>
      </c>
      <c r="H28" s="43" t="s">
        <v>12</v>
      </c>
      <c r="I28" s="43" t="s">
        <v>13</v>
      </c>
      <c r="J28" s="15"/>
      <c r="K28" s="12"/>
      <c r="L28" s="12" t="s">
        <v>6</v>
      </c>
      <c r="M28" s="12"/>
      <c r="N28" s="12"/>
      <c r="O28" s="12" t="s">
        <v>53</v>
      </c>
      <c r="P28" s="12"/>
      <c r="Q28" s="12"/>
      <c r="R28" s="12" t="s">
        <v>6</v>
      </c>
      <c r="S28" s="12" t="s">
        <v>13</v>
      </c>
      <c r="T28" s="12"/>
      <c r="U28" s="12"/>
      <c r="V28" s="12" t="s">
        <v>6</v>
      </c>
      <c r="W28" s="12" t="s">
        <v>13</v>
      </c>
      <c r="X28" s="12"/>
      <c r="Y28" s="12" t="s">
        <v>6</v>
      </c>
      <c r="Z28" s="12" t="s">
        <v>13</v>
      </c>
      <c r="AA28" s="12"/>
      <c r="AB28" s="12"/>
      <c r="AC28" s="12" t="s">
        <v>6</v>
      </c>
      <c r="AD28" s="12" t="s">
        <v>13</v>
      </c>
      <c r="AE28" s="12" t="s">
        <v>11</v>
      </c>
      <c r="AF28" s="12"/>
      <c r="AG28" s="12" t="s">
        <v>6</v>
      </c>
      <c r="AH28" s="12" t="s">
        <v>13</v>
      </c>
      <c r="AI28" s="12" t="s">
        <v>11</v>
      </c>
      <c r="AJ28" s="12"/>
      <c r="AK28" s="12" t="s">
        <v>6</v>
      </c>
      <c r="AL28" s="12" t="s">
        <v>13</v>
      </c>
      <c r="AM28" s="12" t="s">
        <v>11</v>
      </c>
      <c r="AN28" s="12"/>
      <c r="AO28" s="12" t="s">
        <v>6</v>
      </c>
      <c r="AP28" s="12" t="s">
        <v>13</v>
      </c>
      <c r="AQ28" s="12" t="s">
        <v>11</v>
      </c>
      <c r="AR28" s="13"/>
    </row>
    <row r="29" spans="1:44" x14ac:dyDescent="0.2">
      <c r="A29" s="44" t="str">
        <f>info!L3</f>
        <v>Uruguai</v>
      </c>
      <c r="B29" s="45">
        <f>IF(Copa=FIFA,SUM(D29*3)+E29,0)</f>
        <v>0</v>
      </c>
      <c r="C29" s="46">
        <f>COUNT(Tabela!H30,Tabela!H32,Tabela!H34)</f>
        <v>0</v>
      </c>
      <c r="D29" s="46">
        <f>SUM(IF(Tabela!$H$30&gt;Tabela!$J$30,COUNT(Tabela!$H$30)),IF(Tabela!$H$32&gt;Tabela!$J$32,COUNT(Tabela!$H$32)),IF(Tabela!$H$34&gt;Tabela!$J$34,COUNT(Tabela!$H$34)))</f>
        <v>0</v>
      </c>
      <c r="E29" s="46">
        <f>SUM(IF(Tabela!$H$30=Tabela!$J$30,COUNT(Tabela!$H$30)),IF(Tabela!$H$32=Tabela!$J$32,COUNT(Tabela!$H$32)),IF(Tabela!$H$34=Tabela!$J$34,COUNT(Tabela!$H$34)))</f>
        <v>0</v>
      </c>
      <c r="F29" s="46">
        <f>SUM(IF(Tabela!$H$30&lt;Tabela!$J$30,COUNT(Tabela!$H$30)),IF(Tabela!$H$32&lt;Tabela!$J$32,COUNT(Tabela!$H$32)),IF(Tabela!$H$34&lt;Tabela!$J$34,COUNT(Tabela!$H$34)))</f>
        <v>0</v>
      </c>
      <c r="G29" s="46">
        <f>SUM(Tabela!H30+Tabela!H32+Tabela!H34)</f>
        <v>0</v>
      </c>
      <c r="H29" s="46">
        <f>SUM(Tabela!J30+Tabela!J32+Tabela!J34)</f>
        <v>0</v>
      </c>
      <c r="I29" s="46">
        <f>IF(BR20I4=Tabela!D2,SUM(G29-H29),"X")</f>
        <v>0</v>
      </c>
      <c r="J29" s="14"/>
      <c r="K29" s="12" t="str">
        <f>IF(B29&gt;=B30,A29,A30)</f>
        <v>Uruguai</v>
      </c>
      <c r="L29" s="12">
        <f>VLOOKUP(K29,$A$29:$I$32,2,FALSE)</f>
        <v>0</v>
      </c>
      <c r="M29" s="12"/>
      <c r="N29" s="12" t="str">
        <f>IF(L29&gt;=L31,K29,K31)</f>
        <v>Uruguai</v>
      </c>
      <c r="O29" s="12">
        <f>VLOOKUP(N29,$A$29:$I$32,2,FALSE)</f>
        <v>0</v>
      </c>
      <c r="P29" s="12"/>
      <c r="Q29" s="12" t="str">
        <f>IF(O29&gt;=O32,N29,N32)</f>
        <v>Uruguai</v>
      </c>
      <c r="R29" s="12">
        <f>VLOOKUP(Q29,$A$29:$I$32,2,FALSE)</f>
        <v>0</v>
      </c>
      <c r="S29" s="12">
        <f>VLOOKUP(Q29,$A$29:$I$32,9,FALSE)</f>
        <v>0</v>
      </c>
      <c r="T29" s="12"/>
      <c r="U29" s="12" t="str">
        <f>IF(AND(R29=R30,S30&gt;S29),Q30,Q29)</f>
        <v>Uruguai</v>
      </c>
      <c r="V29" s="12">
        <f>VLOOKUP(U29,$A$29:$I$32,2,FALSE)</f>
        <v>0</v>
      </c>
      <c r="W29" s="12">
        <f>VLOOKUP(U29,$A$29:$I$32,9,FALSE)</f>
        <v>0</v>
      </c>
      <c r="X29" s="12" t="str">
        <f>IF(AND(V29=V31,W31&gt;W29),U31,U29)</f>
        <v>Uruguai</v>
      </c>
      <c r="Y29" s="12">
        <f>VLOOKUP(X29,$A$29:$I$32,2,FALSE)</f>
        <v>0</v>
      </c>
      <c r="Z29" s="12">
        <f>VLOOKUP(X29,$A$29:$I$32,9,FALSE)</f>
        <v>0</v>
      </c>
      <c r="AA29" s="12"/>
      <c r="AB29" s="12" t="str">
        <f>IF(AND(Y29=Y32,Z32&gt;Z29),X32,X29)</f>
        <v>Uruguai</v>
      </c>
      <c r="AC29" s="12">
        <f>VLOOKUP(AB29,$A$29:$I$32,2,FALSE)</f>
        <v>0</v>
      </c>
      <c r="AD29" s="12">
        <f>VLOOKUP(AB29,$A$29:$I$32,9,FALSE)</f>
        <v>0</v>
      </c>
      <c r="AE29" s="12">
        <f>VLOOKUP(AB29,$A$29:$I$32,7,FALSE)</f>
        <v>0</v>
      </c>
      <c r="AF29" s="12" t="str">
        <f>IF(AND(AC29=AC30,AD29=AD30,AE30&gt;AE29),AB30,AB29)</f>
        <v>Uruguai</v>
      </c>
      <c r="AG29" s="12">
        <f>VLOOKUP(AF29,$A$29:$I$32,2,FALSE)</f>
        <v>0</v>
      </c>
      <c r="AH29" s="12">
        <f>VLOOKUP(AF29,$A$29:$I$32,9,FALSE)</f>
        <v>0</v>
      </c>
      <c r="AI29" s="12">
        <f>VLOOKUP(AF29,$A$29:$I$32,7,FALSE)</f>
        <v>0</v>
      </c>
      <c r="AJ29" s="12" t="str">
        <f>IF(AND(AG29=AG31,AH29=AH31,AI31&gt;AI29),AF31,AF29)</f>
        <v>Uruguai</v>
      </c>
      <c r="AK29" s="12">
        <f>VLOOKUP(AJ29,$A$29:$I$32,2,FALSE)</f>
        <v>0</v>
      </c>
      <c r="AL29" s="12">
        <f>VLOOKUP(AJ29,$A$29:$I$32,9,FALSE)</f>
        <v>0</v>
      </c>
      <c r="AM29" s="12">
        <f>VLOOKUP(AJ29,$A$29:$I$32,7,FALSE)</f>
        <v>0</v>
      </c>
      <c r="AN29" s="12" t="str">
        <f>IF(AND(AK29=AK32,AL29=AL32,AM32&gt;AM29),AJ32,AJ29)</f>
        <v>Uruguai</v>
      </c>
      <c r="AO29" s="12">
        <f>VLOOKUP(AN29,$A$29:$I$32,2,FALSE)</f>
        <v>0</v>
      </c>
      <c r="AP29" s="12">
        <f>IF(Tabela!O2="www.guiadecompra.com",VLOOKUP(AN29,$A$29:$I$32,9,FALSE),0)</f>
        <v>0</v>
      </c>
      <c r="AQ29" s="12">
        <f>VLOOKUP(AN29,$A$29:$I$32,7,FALSE)</f>
        <v>0</v>
      </c>
      <c r="AR29" s="13"/>
    </row>
    <row r="30" spans="1:44" x14ac:dyDescent="0.2">
      <c r="A30" s="44" t="str">
        <f>info!L4</f>
        <v>Costa Rica</v>
      </c>
      <c r="B30" s="45">
        <f>IF(Copa=FIFA,SUM(D30*3)+E30,0)</f>
        <v>0</v>
      </c>
      <c r="C30" s="46">
        <f>COUNT(Tabela!J30,Tabela!H33,Tabela!H35)</f>
        <v>0</v>
      </c>
      <c r="D30" s="46">
        <f>SUM(IF(Tabela!$J$30&gt;Tabela!$H$30,COUNT(Tabela!$J$30)),IF(Tabela!$H$33&gt;Tabela!$J$33,COUNT(Tabela!$H$33)),IF(Tabela!$H$35&gt;Tabela!$J$35,COUNT(Tabela!$H$35)))</f>
        <v>0</v>
      </c>
      <c r="E30" s="46">
        <f>SUM(IF(Tabela!$J$30=Tabela!$H$30,COUNT(Tabela!$J$30)),IF(Tabela!$H$33=Tabela!$J$33,COUNT(Tabela!$H$33)),IF(Tabela!$H$35=Tabela!$J$35,COUNT(Tabela!$H$35)))</f>
        <v>0</v>
      </c>
      <c r="F30" s="46">
        <f>SUM(IF(Tabela!$J$30&lt;Tabela!$H$30,COUNT(Tabela!$J$30)),IF(Tabela!$H$33&lt;Tabela!$J$33,COUNT(Tabela!$H$33)),IF(Tabela!$H$35&lt;Tabela!$J$35,COUNT(Tabela!$H$35)))</f>
        <v>0</v>
      </c>
      <c r="G30" s="46">
        <f>SUM(Tabela!J30+Tabela!H33+Tabela!H35)</f>
        <v>0</v>
      </c>
      <c r="H30" s="46">
        <f>SUM(Tabela!H30+Tabela!J33+Tabela!J35)</f>
        <v>0</v>
      </c>
      <c r="I30" s="46">
        <f>IF(BR20I4=Tabela!D2,SUM(G30-H30),"X")</f>
        <v>0</v>
      </c>
      <c r="J30" s="14"/>
      <c r="K30" s="12" t="str">
        <f>IF(B30&lt;=B29,A30,A29)</f>
        <v>Costa Rica</v>
      </c>
      <c r="L30" s="12">
        <f>VLOOKUP(K30,$A$29:$I$32,2,FALSE)</f>
        <v>0</v>
      </c>
      <c r="M30" s="12"/>
      <c r="N30" s="12" t="str">
        <f>IF(L30&gt;=L32,K30,K32)</f>
        <v>Costa Rica</v>
      </c>
      <c r="O30" s="12">
        <f>VLOOKUP(N30,$A$29:$I$32,2,FALSE)</f>
        <v>0</v>
      </c>
      <c r="P30" s="12"/>
      <c r="Q30" s="12" t="str">
        <f>IF(O30&gt;=O31,N30,N31)</f>
        <v>Costa Rica</v>
      </c>
      <c r="R30" s="12">
        <f>VLOOKUP(Q30,$A$29:$I$32,2,FALSE)</f>
        <v>0</v>
      </c>
      <c r="S30" s="12">
        <f>VLOOKUP(Q30,$A$29:$I$32,9,FALSE)</f>
        <v>0</v>
      </c>
      <c r="T30" s="12"/>
      <c r="U30" s="12" t="str">
        <f>IF(AND(R29=R30,S30&gt;S29),Q29,Q30)</f>
        <v>Costa Rica</v>
      </c>
      <c r="V30" s="12">
        <f>VLOOKUP(U30,$A$29:$I$32,2,FALSE)</f>
        <v>0</v>
      </c>
      <c r="W30" s="12">
        <f>VLOOKUP(U30,$A$29:$I$32,9,FALSE)</f>
        <v>0</v>
      </c>
      <c r="X30" s="12" t="str">
        <f>IF(AND(V30=V32,W32&gt;W30),U32,U30)</f>
        <v>Costa Rica</v>
      </c>
      <c r="Y30" s="12">
        <f>VLOOKUP(X30,$A$29:$I$32,2,FALSE)</f>
        <v>0</v>
      </c>
      <c r="Z30" s="12">
        <f>VLOOKUP(X30,$A$29:$I$32,9,FALSE)</f>
        <v>0</v>
      </c>
      <c r="AA30" s="12"/>
      <c r="AB30" s="12" t="str">
        <f>IF(AND(Y30=Y31,Z31&gt;Z30),X31,X30)</f>
        <v>Costa Rica</v>
      </c>
      <c r="AC30" s="12">
        <f>VLOOKUP(AB30,$A$29:$I$32,2,FALSE)</f>
        <v>0</v>
      </c>
      <c r="AD30" s="12">
        <f>VLOOKUP(AB30,$A$29:$I$32,9,FALSE)</f>
        <v>0</v>
      </c>
      <c r="AE30" s="12">
        <f>VLOOKUP(AB30,$A$29:$I$32,7,FALSE)</f>
        <v>0</v>
      </c>
      <c r="AF30" s="12" t="str">
        <f>IF(AND(AC30=AC29,AD30=AD29,AE30&gt;AE29),AB29,AB30)</f>
        <v>Costa Rica</v>
      </c>
      <c r="AG30" s="12">
        <f>VLOOKUP(AF30,$A$29:$I$32,2,FALSE)</f>
        <v>0</v>
      </c>
      <c r="AH30" s="12">
        <f>VLOOKUP(AF30,$A$29:$I$32,9,FALSE)</f>
        <v>0</v>
      </c>
      <c r="AI30" s="12">
        <f>VLOOKUP(AF30,$A$29:$I$32,7,FALSE)</f>
        <v>0</v>
      </c>
      <c r="AJ30" s="12" t="str">
        <f>IF(AND(AG30=AG32,AH30=AH32,AI32&gt;AI30),AF32,AF30)</f>
        <v>Costa Rica</v>
      </c>
      <c r="AK30" s="12">
        <f>VLOOKUP(AJ30,$A$29:$I$32,2,FALSE)</f>
        <v>0</v>
      </c>
      <c r="AL30" s="12">
        <f>VLOOKUP(AJ30,$A$29:$I$32,9,FALSE)</f>
        <v>0</v>
      </c>
      <c r="AM30" s="12">
        <f>VLOOKUP(AJ30,$A$29:$I$32,7,FALSE)</f>
        <v>0</v>
      </c>
      <c r="AN30" s="12" t="str">
        <f>IF(AND(AK30=AK31,AL30=AL31,AM31&gt;AM30),AJ31,AJ30)</f>
        <v>Costa Rica</v>
      </c>
      <c r="AO30" s="12">
        <f>VLOOKUP(AN30,$A$29:$I$32,2,FALSE)</f>
        <v>0</v>
      </c>
      <c r="AP30" s="12">
        <f>IF(Tabela!O2="www.guiadecompra.com",VLOOKUP(AN30,$A$29:$I$32,9,FALSE),0)</f>
        <v>0</v>
      </c>
      <c r="AQ30" s="12">
        <f>VLOOKUP(AN30,$A$29:$I$32,7,FALSE)</f>
        <v>0</v>
      </c>
      <c r="AR30" s="13"/>
    </row>
    <row r="31" spans="1:44" x14ac:dyDescent="0.2">
      <c r="A31" s="44" t="str">
        <f>info!L5</f>
        <v>Inglaterra</v>
      </c>
      <c r="B31" s="45">
        <f>IF(Copa=FIFA,SUM(D31*3)+E31,0)</f>
        <v>0</v>
      </c>
      <c r="C31" s="46">
        <f>COUNT(Tabela!H31,Tabela!J32,Tabela!J35)</f>
        <v>0</v>
      </c>
      <c r="D31" s="46">
        <f>SUM(IF(Tabela!$H$31&gt;Tabela!$J$31,COUNT(Tabela!$H$31)),IF(Tabela!$J$32&gt;Tabela!$H$32,COUNT(Tabela!$J$32)),IF(Tabela!$J$35&gt;Tabela!$H$35,COUNT(Tabela!$J$35)))</f>
        <v>0</v>
      </c>
      <c r="E31" s="46">
        <f>SUM(IF(Tabela!$H$31=Tabela!$J$31,COUNT(Tabela!$H$31)),IF(Tabela!$J$32=Tabela!$H$32,COUNT(Tabela!$J$32)),IF(Tabela!$J$35=Tabela!$H$35,COUNT(Tabela!$J$35)))</f>
        <v>0</v>
      </c>
      <c r="F31" s="46">
        <f>SUM(IF(Tabela!$H$31&lt;Tabela!$J$31,COUNT(Tabela!$H$31)),IF(Tabela!$J$32&lt;Tabela!$H$32,COUNT(Tabela!$J$32)),IF(Tabela!$J$35&lt;Tabela!$H$35,COUNT(Tabela!$J$35)))</f>
        <v>0</v>
      </c>
      <c r="G31" s="46">
        <f>SUM(Tabela!H31+Tabela!J32+Tabela!J35)</f>
        <v>0</v>
      </c>
      <c r="H31" s="46">
        <f>SUM(Tabela!J31+Tabela!H32+Tabela!H35)</f>
        <v>0</v>
      </c>
      <c r="I31" s="46">
        <f>IF(BR20I4=Tabela!D2,SUM(G31-H31),"X")</f>
        <v>0</v>
      </c>
      <c r="J31" s="14"/>
      <c r="K31" s="12" t="str">
        <f>IF(B31&gt;=B32,A31,A32)</f>
        <v>Inglaterra</v>
      </c>
      <c r="L31" s="12">
        <f>VLOOKUP(K31,$A$29:$I$32,2,FALSE)</f>
        <v>0</v>
      </c>
      <c r="M31" s="12"/>
      <c r="N31" s="12" t="str">
        <f>IF(L31&lt;=L29,K31,K29)</f>
        <v>Inglaterra</v>
      </c>
      <c r="O31" s="12">
        <f>VLOOKUP(N31,$A$29:$I$32,2,FALSE)</f>
        <v>0</v>
      </c>
      <c r="P31" s="12"/>
      <c r="Q31" s="12" t="str">
        <f>IF(O31&lt;=O30,N31,N30)</f>
        <v>Inglaterra</v>
      </c>
      <c r="R31" s="12">
        <f>VLOOKUP(Q31,$A$29:$I$32,2,FALSE)</f>
        <v>0</v>
      </c>
      <c r="S31" s="12">
        <f>VLOOKUP(Q31,$A$29:$I$32,9,FALSE)</f>
        <v>0</v>
      </c>
      <c r="T31" s="12"/>
      <c r="U31" s="12" t="str">
        <f>IF(AND(R31=R32,S32&gt;S31),Q32,Q31)</f>
        <v>Inglaterra</v>
      </c>
      <c r="V31" s="12">
        <f>VLOOKUP(U31,$A$29:$I$32,2,FALSE)</f>
        <v>0</v>
      </c>
      <c r="W31" s="12">
        <f>VLOOKUP(U31,$A$29:$I$32,9,FALSE)</f>
        <v>0</v>
      </c>
      <c r="X31" s="12" t="str">
        <f>IF(AND(V29=V31,W31&gt;W29),U29,U31)</f>
        <v>Inglaterra</v>
      </c>
      <c r="Y31" s="12">
        <f>VLOOKUP(X31,$A$29:$I$32,2,FALSE)</f>
        <v>0</v>
      </c>
      <c r="Z31" s="12">
        <f>VLOOKUP(X31,$A$29:$I$32,9,FALSE)</f>
        <v>0</v>
      </c>
      <c r="AA31" s="12"/>
      <c r="AB31" s="12" t="str">
        <f>IF(AND(Y31=Y30,Z31&gt;Z30),X30,X31)</f>
        <v>Inglaterra</v>
      </c>
      <c r="AC31" s="12">
        <f>VLOOKUP(AB31,$A$29:$I$32,2,FALSE)</f>
        <v>0</v>
      </c>
      <c r="AD31" s="12">
        <f>VLOOKUP(AB31,$A$29:$I$32,9,FALSE)</f>
        <v>0</v>
      </c>
      <c r="AE31" s="12">
        <f>VLOOKUP(AB31,$A$29:$I$32,7,FALSE)</f>
        <v>0</v>
      </c>
      <c r="AF31" s="12" t="str">
        <f>IF(AND(AC31=AC32,AD31=AD32,AE32&gt;AE31),AB32,AB31)</f>
        <v>Inglaterra</v>
      </c>
      <c r="AG31" s="12">
        <f>VLOOKUP(AF31,$A$29:$I$32,2,FALSE)</f>
        <v>0</v>
      </c>
      <c r="AH31" s="12">
        <f>VLOOKUP(AF31,$A$29:$I$32,9,FALSE)</f>
        <v>0</v>
      </c>
      <c r="AI31" s="12">
        <f>VLOOKUP(AF31,$A$29:$I$32,7,FALSE)</f>
        <v>0</v>
      </c>
      <c r="AJ31" s="12" t="str">
        <f>IF(AND(AG31=AG29,AH31=AH29,AI31&gt;AI29),AF29,AF31)</f>
        <v>Inglaterra</v>
      </c>
      <c r="AK31" s="12">
        <f>VLOOKUP(AJ31,$A$29:$I$32,2,FALSE)</f>
        <v>0</v>
      </c>
      <c r="AL31" s="12">
        <f>VLOOKUP(AJ31,$A$29:$I$32,9,FALSE)</f>
        <v>0</v>
      </c>
      <c r="AM31" s="12">
        <f>VLOOKUP(AJ31,$A$29:$I$32,7,FALSE)</f>
        <v>0</v>
      </c>
      <c r="AN31" s="12" t="str">
        <f>IF(AND(AK31=AK30,AL31=AL30,AM31&gt;AM30),AJ30,AJ31)</f>
        <v>Inglaterra</v>
      </c>
      <c r="AO31" s="12">
        <f>VLOOKUP(AN31,$A$29:$I$32,2,FALSE)</f>
        <v>0</v>
      </c>
      <c r="AP31" s="12">
        <f>IF(Tabela!O2="www.guiadecompra.com",VLOOKUP(AN31,$A$29:$I$32,9,FALSE),0)</f>
        <v>0</v>
      </c>
      <c r="AQ31" s="12">
        <f>VLOOKUP(AN31,$A$29:$I$32,7,FALSE)</f>
        <v>0</v>
      </c>
      <c r="AR31" s="13"/>
    </row>
    <row r="32" spans="1:44" x14ac:dyDescent="0.2">
      <c r="A32" s="44" t="str">
        <f>info!L6</f>
        <v>Itália</v>
      </c>
      <c r="B32" s="45">
        <f>IF(Copa=FIFA,SUM(D32*3)+E32,0)</f>
        <v>0</v>
      </c>
      <c r="C32" s="46">
        <f>COUNT(Tabela!J31,Tabela!J33,Tabela!J34)</f>
        <v>0</v>
      </c>
      <c r="D32" s="46">
        <f>SUM(IF(Tabela!$J$31&gt;Tabela!$H$31,COUNT(Tabela!$J$31)),IF(Tabela!$J$33&gt;Tabela!$H$33,COUNT(Tabela!$J$33)),IF(Tabela!$J$34&gt;Tabela!$H$34,COUNT(Tabela!$J$34)))</f>
        <v>0</v>
      </c>
      <c r="E32" s="46">
        <f>SUM(IF(Tabela!$J$31=Tabela!$H$31,COUNT(Tabela!$J$31)),IF(Tabela!$J$33=Tabela!$H$33,COUNT(Tabela!$J$33)),IF(Tabela!$J$34=Tabela!$H$34,COUNT(Tabela!$J$34)))</f>
        <v>0</v>
      </c>
      <c r="F32" s="46">
        <f>SUM(IF(Tabela!$J$31&lt;Tabela!$H$31,COUNT(Tabela!$J$31)),IF(Tabela!$J$33&lt;Tabela!$H$33,COUNT(Tabela!$J$33)),IF(Tabela!$J$34&lt;Tabela!$H$34,COUNT(Tabela!$J$34)))</f>
        <v>0</v>
      </c>
      <c r="G32" s="46">
        <f>SUM(Tabela!J31+Tabela!J33+Tabela!J34)</f>
        <v>0</v>
      </c>
      <c r="H32" s="46">
        <f>SUM(Tabela!H31+Tabela!H33+Tabela!H34)</f>
        <v>0</v>
      </c>
      <c r="I32" s="46">
        <f>IF(BR20I4=Tabela!D2,SUM(G32-H32),"X")</f>
        <v>0</v>
      </c>
      <c r="J32" s="14"/>
      <c r="K32" s="12" t="str">
        <f>IF(B32&lt;=B31,A32,A31)</f>
        <v>Itália</v>
      </c>
      <c r="L32" s="12">
        <f>VLOOKUP(K32,$A$29:$I$32,2,FALSE)</f>
        <v>0</v>
      </c>
      <c r="M32" s="12"/>
      <c r="N32" s="12" t="str">
        <f>IF(L32&lt;=L30,K32,K30)</f>
        <v>Itália</v>
      </c>
      <c r="O32" s="12">
        <f>VLOOKUP(N32,$A$29:$I$32,2,FALSE)</f>
        <v>0</v>
      </c>
      <c r="P32" s="12"/>
      <c r="Q32" s="12" t="str">
        <f>IF(O32&lt;=O29,N32,N29)</f>
        <v>Itália</v>
      </c>
      <c r="R32" s="12">
        <f>VLOOKUP(Q32,$A$29:$I$32,2,FALSE)</f>
        <v>0</v>
      </c>
      <c r="S32" s="12">
        <f>VLOOKUP(Q32,$A$29:$I$32,9,FALSE)</f>
        <v>0</v>
      </c>
      <c r="T32" s="12"/>
      <c r="U32" s="12" t="str">
        <f>IF(AND(R31=R32,S32&gt;S31),Q31,Q32)</f>
        <v>Itália</v>
      </c>
      <c r="V32" s="12">
        <f>VLOOKUP(U32,$A$29:$I$32,2,FALSE)</f>
        <v>0</v>
      </c>
      <c r="W32" s="12">
        <f>VLOOKUP(U32,$A$29:$I$32,9,FALSE)</f>
        <v>0</v>
      </c>
      <c r="X32" s="12" t="str">
        <f>IF(AND(V30=V32,W32&gt;W30),U30,U32)</f>
        <v>Itália</v>
      </c>
      <c r="Y32" s="12">
        <f>VLOOKUP(X32,$A$29:$I$32,2,FALSE)</f>
        <v>0</v>
      </c>
      <c r="Z32" s="12">
        <f>VLOOKUP(X32,$A$29:$I$32,9,FALSE)</f>
        <v>0</v>
      </c>
      <c r="AA32" s="12"/>
      <c r="AB32" s="12" t="str">
        <f>IF(AND(Y32=Y29,Z32&gt;Z29),X29,X32)</f>
        <v>Itália</v>
      </c>
      <c r="AC32" s="12">
        <f>VLOOKUP(AB32,$A$29:$I$32,2,FALSE)</f>
        <v>0</v>
      </c>
      <c r="AD32" s="12">
        <f>VLOOKUP(AB32,$A$29:$I$32,9,FALSE)</f>
        <v>0</v>
      </c>
      <c r="AE32" s="12">
        <f>VLOOKUP(AB32,$A$29:$I$32,7,FALSE)</f>
        <v>0</v>
      </c>
      <c r="AF32" s="12" t="str">
        <f>IF(AND(AC32=AC31,AD32=AD31,AE32&gt;AE31),X31,X32)</f>
        <v>Itália</v>
      </c>
      <c r="AG32" s="12">
        <f>VLOOKUP(AF32,$A$29:$I$32,2,FALSE)</f>
        <v>0</v>
      </c>
      <c r="AH32" s="12">
        <f>VLOOKUP(AF32,$A$29:$I$32,9,FALSE)</f>
        <v>0</v>
      </c>
      <c r="AI32" s="12">
        <f>VLOOKUP(AF32,$A$29:$I$32,7,FALSE)</f>
        <v>0</v>
      </c>
      <c r="AJ32" s="12" t="str">
        <f>IF(AND(AG30=AG32,AH30=AH32,AI32&gt;AI30),AF30,AF32)</f>
        <v>Itália</v>
      </c>
      <c r="AK32" s="12">
        <f>VLOOKUP(AJ32,$A$29:$I$32,2,FALSE)</f>
        <v>0</v>
      </c>
      <c r="AL32" s="12">
        <f>VLOOKUP(AJ32,$A$29:$I$32,9,FALSE)</f>
        <v>0</v>
      </c>
      <c r="AM32" s="12">
        <f>VLOOKUP(AJ32,$A$29:$I$32,7,FALSE)</f>
        <v>0</v>
      </c>
      <c r="AN32" s="12" t="str">
        <f>IF(AND(AK32=AK29,AL32=AL29,AM32&gt;AM29),AJ29,AJ32)</f>
        <v>Itália</v>
      </c>
      <c r="AO32" s="12">
        <f>VLOOKUP(AN32,$A$29:$I$32,2,FALSE)</f>
        <v>0</v>
      </c>
      <c r="AP32" s="12">
        <f>IF(Tabela!O2="www.guiadecompra.com",VLOOKUP(AN32,$A$29:$I$32,9,FALSE),0)</f>
        <v>0</v>
      </c>
      <c r="AQ32" s="12">
        <f>VLOOKUP(AN32,$A$29:$I$32,7,FALSE)</f>
        <v>0</v>
      </c>
      <c r="AR32" s="13"/>
    </row>
    <row r="33" spans="1:44" x14ac:dyDescent="0.2">
      <c r="A33" s="5"/>
      <c r="B33" s="8"/>
      <c r="C33" s="8"/>
      <c r="D33" s="8"/>
      <c r="E33" s="8"/>
      <c r="F33" s="8"/>
      <c r="G33" s="8"/>
      <c r="H33" s="8"/>
      <c r="I33" s="8"/>
      <c r="J33" s="8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3"/>
    </row>
    <row r="34" spans="1:44" x14ac:dyDescent="0.2">
      <c r="A34" s="5"/>
      <c r="B34" s="8"/>
      <c r="C34" s="8"/>
      <c r="D34" s="8"/>
      <c r="E34" s="8"/>
      <c r="F34" s="8"/>
      <c r="G34" s="8"/>
      <c r="H34" s="8"/>
      <c r="I34" s="8"/>
      <c r="J34" s="8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3"/>
    </row>
    <row r="35" spans="1:44" x14ac:dyDescent="0.2">
      <c r="A35" s="5"/>
      <c r="B35" s="343" t="s">
        <v>57</v>
      </c>
      <c r="C35" s="343"/>
      <c r="D35" s="343"/>
      <c r="E35" s="343"/>
      <c r="F35" s="343"/>
      <c r="G35" s="343"/>
      <c r="H35" s="343"/>
      <c r="I35" s="343"/>
      <c r="J35" s="8"/>
      <c r="K35" s="12" t="s">
        <v>49</v>
      </c>
      <c r="L35" s="12"/>
      <c r="M35" s="12"/>
      <c r="N35" s="12" t="s">
        <v>50</v>
      </c>
      <c r="O35" s="12"/>
      <c r="P35" s="12"/>
      <c r="Q35" s="12" t="s">
        <v>51</v>
      </c>
      <c r="R35" s="12"/>
      <c r="S35" s="12"/>
      <c r="T35" s="12"/>
      <c r="U35" s="12" t="s">
        <v>51</v>
      </c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3"/>
    </row>
    <row r="36" spans="1:44" x14ac:dyDescent="0.2">
      <c r="A36" s="41" t="s">
        <v>52</v>
      </c>
      <c r="B36" s="42" t="s">
        <v>6</v>
      </c>
      <c r="C36" s="43" t="s">
        <v>7</v>
      </c>
      <c r="D36" s="43" t="s">
        <v>8</v>
      </c>
      <c r="E36" s="43" t="s">
        <v>9</v>
      </c>
      <c r="F36" s="43" t="s">
        <v>10</v>
      </c>
      <c r="G36" s="43" t="s">
        <v>11</v>
      </c>
      <c r="H36" s="43" t="s">
        <v>12</v>
      </c>
      <c r="I36" s="43" t="s">
        <v>13</v>
      </c>
      <c r="J36" s="15"/>
      <c r="K36" s="12"/>
      <c r="L36" s="12" t="s">
        <v>6</v>
      </c>
      <c r="M36" s="12"/>
      <c r="N36" s="12"/>
      <c r="O36" s="12" t="s">
        <v>53</v>
      </c>
      <c r="P36" s="12"/>
      <c r="Q36" s="12"/>
      <c r="R36" s="12" t="s">
        <v>6</v>
      </c>
      <c r="S36" s="12" t="s">
        <v>13</v>
      </c>
      <c r="T36" s="12"/>
      <c r="U36" s="12"/>
      <c r="V36" s="12" t="s">
        <v>6</v>
      </c>
      <c r="W36" s="12" t="s">
        <v>13</v>
      </c>
      <c r="X36" s="12"/>
      <c r="Y36" s="12" t="s">
        <v>6</v>
      </c>
      <c r="Z36" s="12" t="s">
        <v>13</v>
      </c>
      <c r="AA36" s="12"/>
      <c r="AB36" s="12"/>
      <c r="AC36" s="12" t="s">
        <v>6</v>
      </c>
      <c r="AD36" s="12" t="s">
        <v>13</v>
      </c>
      <c r="AE36" s="12" t="s">
        <v>11</v>
      </c>
      <c r="AF36" s="12"/>
      <c r="AG36" s="12" t="s">
        <v>6</v>
      </c>
      <c r="AH36" s="12" t="s">
        <v>13</v>
      </c>
      <c r="AI36" s="12" t="s">
        <v>11</v>
      </c>
      <c r="AJ36" s="12"/>
      <c r="AK36" s="12" t="s">
        <v>6</v>
      </c>
      <c r="AL36" s="12" t="s">
        <v>13</v>
      </c>
      <c r="AM36" s="12" t="s">
        <v>11</v>
      </c>
      <c r="AN36" s="12"/>
      <c r="AO36" s="12" t="s">
        <v>6</v>
      </c>
      <c r="AP36" s="12" t="s">
        <v>13</v>
      </c>
      <c r="AQ36" s="12" t="s">
        <v>11</v>
      </c>
      <c r="AR36" s="13"/>
    </row>
    <row r="37" spans="1:44" x14ac:dyDescent="0.2">
      <c r="A37" s="44" t="str">
        <f>info!C10</f>
        <v>Suiça</v>
      </c>
      <c r="B37" s="45">
        <f>IF(Copa=FIFA,SUM(D37*3)+E37,0)</f>
        <v>0</v>
      </c>
      <c r="C37" s="46">
        <f>COUNT(Tabela!H38,Tabela!H40,Tabela!H42)</f>
        <v>0</v>
      </c>
      <c r="D37" s="46">
        <f>SUM(IF(Tabela!$H$38&gt;Tabela!$J$38,COUNT(Tabela!$H$38)),IF(Tabela!$H$40&gt;Tabela!$J$40,COUNT(Tabela!$H$40)),IF(Tabela!$H$42&gt;Tabela!$J$42,COUNT(Tabela!$H$42)))</f>
        <v>0</v>
      </c>
      <c r="E37" s="46">
        <f>SUM(IF(Tabela!$H$38=Tabela!$J$38,COUNT(Tabela!$H$38)),IF(Tabela!$H$40=Tabela!$J$40,COUNT(Tabela!$H$40)),IF(Tabela!$H$42=Tabela!$J$42,COUNT(Tabela!$H$42)))</f>
        <v>0</v>
      </c>
      <c r="F37" s="46">
        <f>SUM(IF(Tabela!$H$38&lt;Tabela!$J$38,COUNT(Tabela!$H$38)),IF(Tabela!$H$40&lt;Tabela!$J$40,COUNT(Tabela!$H$40)),IF(Tabela!$H$42&lt;Tabela!$J$42,COUNT(Tabela!$H$42)))</f>
        <v>0</v>
      </c>
      <c r="G37" s="46">
        <f>SUM(Tabela!H38+Tabela!H40+Tabela!H42)</f>
        <v>0</v>
      </c>
      <c r="H37" s="46">
        <f>SUM(Tabela!J38+Tabela!J40+Tabela!J42)</f>
        <v>0</v>
      </c>
      <c r="I37" s="46">
        <f>IF(BR20I4=Tabela!D2,SUM(G37-H37),"X")</f>
        <v>0</v>
      </c>
      <c r="J37" s="14"/>
      <c r="K37" s="12" t="str">
        <f>IF(B37&gt;=B38,A37,A38)</f>
        <v>Suiça</v>
      </c>
      <c r="L37" s="12">
        <f>VLOOKUP(K37,$A$37:$I$40,2,FALSE)</f>
        <v>0</v>
      </c>
      <c r="M37" s="12"/>
      <c r="N37" s="12" t="str">
        <f>IF(L37&gt;=L39,K37,K39)</f>
        <v>Suiça</v>
      </c>
      <c r="O37" s="12">
        <f>VLOOKUP(N37,$A$37:$I$40,2,FALSE)</f>
        <v>0</v>
      </c>
      <c r="P37" s="12"/>
      <c r="Q37" s="12" t="str">
        <f>IF(O37&gt;=O40,N37,N40)</f>
        <v>Suiça</v>
      </c>
      <c r="R37" s="12">
        <f>VLOOKUP(Q37,$A$37:$I$40,2,FALSE)</f>
        <v>0</v>
      </c>
      <c r="S37" s="12">
        <f>VLOOKUP(Q37,$A$37:$I$40,9,FALSE)</f>
        <v>0</v>
      </c>
      <c r="T37" s="12"/>
      <c r="U37" s="12" t="str">
        <f>IF(AND(R37=R38,S38&gt;S37),Q38,Q37)</f>
        <v>Suiça</v>
      </c>
      <c r="V37" s="12">
        <f>VLOOKUP(U37,$A$37:$I$40,2,FALSE)</f>
        <v>0</v>
      </c>
      <c r="W37" s="12">
        <f>VLOOKUP(U37,$A$37:$I$40,9,FALSE)</f>
        <v>0</v>
      </c>
      <c r="X37" s="12" t="str">
        <f>IF(AND(V37=V39,W39&gt;W37),U39,U37)</f>
        <v>Suiça</v>
      </c>
      <c r="Y37" s="12">
        <f>VLOOKUP(X37,$A$37:$I$40,2,FALSE)</f>
        <v>0</v>
      </c>
      <c r="Z37" s="12">
        <f>VLOOKUP(X37,$A$37:$I$40,9,FALSE)</f>
        <v>0</v>
      </c>
      <c r="AA37" s="12"/>
      <c r="AB37" s="12" t="str">
        <f>IF(AND(Y37=Y40,Z40&gt;Z37),X40,X37)</f>
        <v>Suiça</v>
      </c>
      <c r="AC37" s="12">
        <f>VLOOKUP(AB37,$A$37:$I$40,2,FALSE)</f>
        <v>0</v>
      </c>
      <c r="AD37" s="12">
        <f>VLOOKUP(AB37,$A$37:$I$40,9,FALSE)</f>
        <v>0</v>
      </c>
      <c r="AE37" s="12">
        <f>VLOOKUP(AB37,$A$37:$I$40,7,FALSE)</f>
        <v>0</v>
      </c>
      <c r="AF37" s="12" t="str">
        <f>IF(AND(AC37=AC38,AD37=AD38,AE38&gt;AE37),AB38,AB37)</f>
        <v>Suiça</v>
      </c>
      <c r="AG37" s="12">
        <f>VLOOKUP(AF37,$A$37:$I$40,2,FALSE)</f>
        <v>0</v>
      </c>
      <c r="AH37" s="12">
        <f>VLOOKUP(AF37,$A$37:$I$40,9,FALSE)</f>
        <v>0</v>
      </c>
      <c r="AI37" s="12">
        <f>VLOOKUP(AF37,$A$37:$I$40,7,FALSE)</f>
        <v>0</v>
      </c>
      <c r="AJ37" s="12" t="str">
        <f>IF(AND(AG37=AG39,AH37=AH39,AI39&gt;AI37),AF39,AF37)</f>
        <v>Suiça</v>
      </c>
      <c r="AK37" s="12">
        <f>VLOOKUP(AJ37,$A$37:$I$40,2,FALSE)</f>
        <v>0</v>
      </c>
      <c r="AL37" s="12">
        <f>VLOOKUP(AJ37,$A$37:$I$40,9,FALSE)</f>
        <v>0</v>
      </c>
      <c r="AM37" s="12">
        <f>VLOOKUP(AJ37,$A$37:$I$40,7,FALSE)</f>
        <v>0</v>
      </c>
      <c r="AN37" s="12" t="str">
        <f>IF(AND(AK37=AK40,AL37=AL40,AM40&gt;AM37),AJ40,AJ37)</f>
        <v>Suiça</v>
      </c>
      <c r="AO37" s="12">
        <f>VLOOKUP(AN37,$A$37:$I$40,2,FALSE)</f>
        <v>0</v>
      </c>
      <c r="AP37" s="12">
        <f>IF(Tabela!O2="www.guiadecompra.com",VLOOKUP(AN37,$A$37:$I$40,9,FALSE),0)</f>
        <v>0</v>
      </c>
      <c r="AQ37" s="12">
        <f>VLOOKUP(AN37,$A$37:$I$40,7,FALSE)</f>
        <v>0</v>
      </c>
      <c r="AR37" s="13"/>
    </row>
    <row r="38" spans="1:44" x14ac:dyDescent="0.2">
      <c r="A38" s="44" t="str">
        <f>info!C11</f>
        <v>Equador</v>
      </c>
      <c r="B38" s="45">
        <f>IF(Copa=FIFA,SUM(D38*3)+E38,0)</f>
        <v>0</v>
      </c>
      <c r="C38" s="46">
        <f>COUNT(Tabela!J38,Tabela!H41,Tabela!H43)</f>
        <v>0</v>
      </c>
      <c r="D38" s="46">
        <f>SUM(IF(Tabela!$J$38&gt;Tabela!$H$38,COUNT(Tabela!$J$38)),IF(Tabela!$H$41&gt;Tabela!$J$41,COUNT(Tabela!$H$41)),IF(Tabela!$H$43&gt;Tabela!$J$43,COUNT(Tabela!$H$43)))</f>
        <v>0</v>
      </c>
      <c r="E38" s="46">
        <f>SUM(IF(Tabela!$J$38=Tabela!$H$38,COUNT(Tabela!$J$38)),IF(Tabela!$H$41=Tabela!$J$41,COUNT(Tabela!$H$41)),IF(Tabela!$H$43=Tabela!$J$43,COUNT(Tabela!$H$43)))</f>
        <v>0</v>
      </c>
      <c r="F38" s="46">
        <f>SUM(IF(Tabela!$J$38&lt;Tabela!$H$38,COUNT(Tabela!$J$38)),IF(Tabela!$H$41&lt;Tabela!$J$41,COUNT(Tabela!$H$41)),IF(Tabela!$H$43&lt;Tabela!$J$43,COUNT(Tabela!$H$43)))</f>
        <v>0</v>
      </c>
      <c r="G38" s="46">
        <f>SUM(Tabela!J38+Tabela!H41+Tabela!H43)</f>
        <v>0</v>
      </c>
      <c r="H38" s="46">
        <f>SUM(Tabela!H38+Tabela!J41+Tabela!J43)</f>
        <v>0</v>
      </c>
      <c r="I38" s="46">
        <f>IF(BR20I4=Tabela!D2,SUM(G38-H38),"X")</f>
        <v>0</v>
      </c>
      <c r="J38" s="14"/>
      <c r="K38" s="12" t="str">
        <f>IF(B38&lt;=B37,A38,A37)</f>
        <v>Equador</v>
      </c>
      <c r="L38" s="12">
        <f>VLOOKUP(K38,$A$37:$I$40,2,FALSE)</f>
        <v>0</v>
      </c>
      <c r="M38" s="12"/>
      <c r="N38" s="12" t="str">
        <f>IF(L38&gt;=L40,K38,K40)</f>
        <v>Equador</v>
      </c>
      <c r="O38" s="12">
        <f>VLOOKUP(N38,$A$37:$I$40,2,FALSE)</f>
        <v>0</v>
      </c>
      <c r="P38" s="12"/>
      <c r="Q38" s="12" t="str">
        <f>IF(O38&gt;=O39,N38,N39)</f>
        <v>Equador</v>
      </c>
      <c r="R38" s="12">
        <f>VLOOKUP(Q38,$A$37:$I$40,2,FALSE)</f>
        <v>0</v>
      </c>
      <c r="S38" s="12">
        <f>VLOOKUP(Q38,$A$37:$I$40,9,FALSE)</f>
        <v>0</v>
      </c>
      <c r="T38" s="12"/>
      <c r="U38" s="12" t="str">
        <f>IF(AND(R37=R38,S38&gt;S37),Q37,Q38)</f>
        <v>Equador</v>
      </c>
      <c r="V38" s="12">
        <f>VLOOKUP(U38,$A$37:$I$40,2,FALSE)</f>
        <v>0</v>
      </c>
      <c r="W38" s="12">
        <f>VLOOKUP(U38,$A$37:$I$40,9,FALSE)</f>
        <v>0</v>
      </c>
      <c r="X38" s="12" t="str">
        <f>IF(AND(V38=V40,W40&gt;W38),U40,U38)</f>
        <v>Equador</v>
      </c>
      <c r="Y38" s="12">
        <f>VLOOKUP(X38,$A$37:$I$40,2,FALSE)</f>
        <v>0</v>
      </c>
      <c r="Z38" s="12">
        <f>VLOOKUP(X38,$A$37:$I$40,9,FALSE)</f>
        <v>0</v>
      </c>
      <c r="AA38" s="12"/>
      <c r="AB38" s="12" t="str">
        <f>IF(AND(Y38=Y39,Z39&gt;Z38),X39,X38)</f>
        <v>Equador</v>
      </c>
      <c r="AC38" s="12">
        <f>VLOOKUP(AB38,$A$37:$I$40,2,FALSE)</f>
        <v>0</v>
      </c>
      <c r="AD38" s="12">
        <f>VLOOKUP(AB38,$A$37:$I$40,9,FALSE)</f>
        <v>0</v>
      </c>
      <c r="AE38" s="12">
        <f>VLOOKUP(AB38,$A$37:$I$40,7,FALSE)</f>
        <v>0</v>
      </c>
      <c r="AF38" s="12" t="str">
        <f>IF(AND(AC38=AC37,AD38=AD37,AE38&gt;AE37),AB37,AB38)</f>
        <v>Equador</v>
      </c>
      <c r="AG38" s="12">
        <f>VLOOKUP(AF38,$A$37:$I$40,2,FALSE)</f>
        <v>0</v>
      </c>
      <c r="AH38" s="12">
        <f>VLOOKUP(AF38,$A$37:$I$40,9,FALSE)</f>
        <v>0</v>
      </c>
      <c r="AI38" s="12">
        <f>VLOOKUP(AF38,$A$37:$I$40,7,FALSE)</f>
        <v>0</v>
      </c>
      <c r="AJ38" s="12" t="str">
        <f>IF(AND(AG38=AG40,AH38=AH40,AI40&gt;AI38),AF40,AF38)</f>
        <v>Equador</v>
      </c>
      <c r="AK38" s="12">
        <f>VLOOKUP(AJ38,$A$37:$I$40,2,FALSE)</f>
        <v>0</v>
      </c>
      <c r="AL38" s="12">
        <f>VLOOKUP(AJ38,$A$37:$I$40,9,FALSE)</f>
        <v>0</v>
      </c>
      <c r="AM38" s="12">
        <f>VLOOKUP(AJ38,$A$37:$I$40,7,FALSE)</f>
        <v>0</v>
      </c>
      <c r="AN38" s="12" t="str">
        <f>IF(AND(AK38=AK39,AL38=AL39,AM39&gt;AM38),AJ39,AJ38)</f>
        <v>Equador</v>
      </c>
      <c r="AO38" s="12">
        <f>VLOOKUP(AN38,$A$37:$I$40,2,FALSE)</f>
        <v>0</v>
      </c>
      <c r="AP38" s="12">
        <f>IF(Tabela!O2="www.guiadecompra.com",VLOOKUP(AN38,$A$37:$I$40,9,FALSE),0)</f>
        <v>0</v>
      </c>
      <c r="AQ38" s="12">
        <f>VLOOKUP(AN38,$A$37:$I$40,7,FALSE)</f>
        <v>0</v>
      </c>
      <c r="AR38" s="13"/>
    </row>
    <row r="39" spans="1:44" x14ac:dyDescent="0.2">
      <c r="A39" s="44" t="str">
        <f>info!C12</f>
        <v>França</v>
      </c>
      <c r="B39" s="45">
        <f>IF(Copa=FIFA,SUM(D39*3)+E39,0)</f>
        <v>0</v>
      </c>
      <c r="C39" s="46">
        <f>COUNT(Tabela!H39,Tabela!J40,Tabela!J43)</f>
        <v>0</v>
      </c>
      <c r="D39" s="46">
        <f>SUM(IF(Tabela!$H$39&gt;Tabela!$J$39,COUNT(Tabela!$H$39)),IF(Tabela!$J$40&gt;Tabela!$H$40,COUNT(Tabela!$J$40)),IF(Tabela!$J$43&gt;Tabela!$H$43,COUNT(Tabela!$J$43)))</f>
        <v>0</v>
      </c>
      <c r="E39" s="46">
        <f>SUM(IF(Tabela!$H$39=Tabela!$J$39,COUNT(Tabela!$H$39)),IF(Tabela!$J$40=Tabela!$H$40,COUNT(Tabela!$J$40)),IF(Tabela!$J$43=Tabela!$H$43,COUNT(Tabela!$J$43)))</f>
        <v>0</v>
      </c>
      <c r="F39" s="46">
        <f>SUM(IF(Tabela!$H$39&lt;Tabela!$J$39,COUNT(Tabela!$H$39)),IF(Tabela!$J$40&lt;Tabela!$H$40,COUNT(Tabela!$J$40)),IF(Tabela!$J$43&lt;Tabela!$H$43,COUNT(Tabela!$J$43)))</f>
        <v>0</v>
      </c>
      <c r="G39" s="46">
        <f>SUM(Tabela!H39+Tabela!J40+Tabela!J43)</f>
        <v>0</v>
      </c>
      <c r="H39" s="46">
        <f>SUM(Tabela!J39+Tabela!H40+Tabela!H43)</f>
        <v>0</v>
      </c>
      <c r="I39" s="46">
        <f>IF(BR20I4=Tabela!D2,SUM(G39-H39),"X")</f>
        <v>0</v>
      </c>
      <c r="J39" s="14"/>
      <c r="K39" s="12" t="str">
        <f>IF(B39&gt;=B40,A39,A40)</f>
        <v>França</v>
      </c>
      <c r="L39" s="12">
        <f>VLOOKUP(K39,$A$37:$I$40,2,FALSE)</f>
        <v>0</v>
      </c>
      <c r="M39" s="12"/>
      <c r="N39" s="12" t="str">
        <f>IF(L39&lt;=L37,K39,K37)</f>
        <v>França</v>
      </c>
      <c r="O39" s="12">
        <f>VLOOKUP(N39,$A$37:$I$40,2,FALSE)</f>
        <v>0</v>
      </c>
      <c r="P39" s="12"/>
      <c r="Q39" s="12" t="str">
        <f>IF(O39&lt;=O38,N39,N38)</f>
        <v>França</v>
      </c>
      <c r="R39" s="12">
        <f>VLOOKUP(Q39,$A$37:$I$40,2,FALSE)</f>
        <v>0</v>
      </c>
      <c r="S39" s="12">
        <f>VLOOKUP(Q39,$A$37:$I$40,9,FALSE)</f>
        <v>0</v>
      </c>
      <c r="T39" s="12"/>
      <c r="U39" s="12" t="str">
        <f>IF(AND(R39=R40,S40&gt;S39),Q40,Q39)</f>
        <v>França</v>
      </c>
      <c r="V39" s="12">
        <f>VLOOKUP(U39,$A$37:$I$40,2,FALSE)</f>
        <v>0</v>
      </c>
      <c r="W39" s="12">
        <f>VLOOKUP(U39,$A$37:$I$40,9,FALSE)</f>
        <v>0</v>
      </c>
      <c r="X39" s="12" t="str">
        <f>IF(AND(V37=V39,W39&gt;W37),U37,U39)</f>
        <v>França</v>
      </c>
      <c r="Y39" s="12">
        <f>VLOOKUP(X39,$A$37:$I$40,2,FALSE)</f>
        <v>0</v>
      </c>
      <c r="Z39" s="12">
        <f>VLOOKUP(X39,$A$37:$I$40,9,FALSE)</f>
        <v>0</v>
      </c>
      <c r="AA39" s="12"/>
      <c r="AB39" s="12" t="str">
        <f>IF(AND(Y39=Y38,Z39&gt;Z38),X38,X39)</f>
        <v>França</v>
      </c>
      <c r="AC39" s="12">
        <f>VLOOKUP(AB39,$A$37:$I$40,2,FALSE)</f>
        <v>0</v>
      </c>
      <c r="AD39" s="12">
        <f>VLOOKUP(AB39,$A$37:$I$40,9,FALSE)</f>
        <v>0</v>
      </c>
      <c r="AE39" s="12">
        <f>VLOOKUP(AB39,$A$37:$I$40,7,FALSE)</f>
        <v>0</v>
      </c>
      <c r="AF39" s="12" t="str">
        <f>IF(AND(AC39=AC40,AD39=AD40,AE40&gt;AE39),AB40,AB39)</f>
        <v>França</v>
      </c>
      <c r="AG39" s="12">
        <f>VLOOKUP(AF39,$A$37:$I$40,2,FALSE)</f>
        <v>0</v>
      </c>
      <c r="AH39" s="12">
        <f>VLOOKUP(AF39,$A$37:$I$40,9,FALSE)</f>
        <v>0</v>
      </c>
      <c r="AI39" s="12">
        <f>VLOOKUP(AF39,$A$37:$I$40,7,FALSE)</f>
        <v>0</v>
      </c>
      <c r="AJ39" s="12" t="str">
        <f>IF(AND(AG39=AG37,AH39=AH37,AI39&gt;AI37),AF37,AF39)</f>
        <v>França</v>
      </c>
      <c r="AK39" s="12">
        <f>VLOOKUP(AJ39,$A$37:$I$40,2,FALSE)</f>
        <v>0</v>
      </c>
      <c r="AL39" s="12">
        <f>VLOOKUP(AJ39,$A$37:$I$40,9,FALSE)</f>
        <v>0</v>
      </c>
      <c r="AM39" s="12">
        <f>VLOOKUP(AJ39,$A$37:$I$40,7,FALSE)</f>
        <v>0</v>
      </c>
      <c r="AN39" s="12" t="str">
        <f>IF(AND(AK39=AK38,AL39=AL38,AM39&gt;AM38),AJ38,AJ39)</f>
        <v>França</v>
      </c>
      <c r="AO39" s="12">
        <f>VLOOKUP(AN39,$A$37:$I$40,2,FALSE)</f>
        <v>0</v>
      </c>
      <c r="AP39" s="12">
        <f>IF(Tabela!O2="www.guiadecompra.com",VLOOKUP(AN39,$A$37:$I$40,9,FALSE),0)</f>
        <v>0</v>
      </c>
      <c r="AQ39" s="12">
        <f>VLOOKUP(AN39,$A$37:$I$40,7,FALSE)</f>
        <v>0</v>
      </c>
      <c r="AR39" s="13"/>
    </row>
    <row r="40" spans="1:44" x14ac:dyDescent="0.2">
      <c r="A40" s="44" t="str">
        <f>info!C13</f>
        <v>Honduras</v>
      </c>
      <c r="B40" s="45">
        <f>IF(Copa=FIFA,SUM(D40*3)+E40,0)</f>
        <v>0</v>
      </c>
      <c r="C40" s="46">
        <f>COUNT(Tabela!J39,Tabela!J41,Tabela!J42)</f>
        <v>0</v>
      </c>
      <c r="D40" s="46">
        <f>SUM(IF(Tabela!$J$39&gt;Tabela!$H$39,COUNT(Tabela!$J$39)),IF(Tabela!$J$41&gt;Tabela!$H$41,COUNT(Tabela!$J$41)),IF(Tabela!$J$42&gt;Tabela!$H$42,COUNT(Tabela!$J$42)))</f>
        <v>0</v>
      </c>
      <c r="E40" s="46">
        <f>SUM(IF(Tabela!$J$39=Tabela!$H$39,COUNT(Tabela!$J$39)),IF(Tabela!$J$41=Tabela!$H$41,COUNT(Tabela!$J$41)),IF(Tabela!$J$42=Tabela!$H$42,COUNT(Tabela!$J$42)))</f>
        <v>0</v>
      </c>
      <c r="F40" s="46">
        <f>SUM(IF(Tabela!$J$39&lt;Tabela!$H$39,COUNT(Tabela!$J$39)),IF(Tabela!$J$41&lt;Tabela!$H$41,COUNT(Tabela!$J$41)),IF(Tabela!$J$42&lt;Tabela!$H$42,COUNT(Tabela!$J$42)))</f>
        <v>0</v>
      </c>
      <c r="G40" s="46">
        <f>SUM(Tabela!J39+Tabela!J41+Tabela!J42)</f>
        <v>0</v>
      </c>
      <c r="H40" s="46">
        <f>SUM(Tabela!H39+Tabela!H41+Tabela!H42)</f>
        <v>0</v>
      </c>
      <c r="I40" s="46">
        <f>IF(BR20I4=Tabela!D2,SUM(G40-H40),"X")</f>
        <v>0</v>
      </c>
      <c r="J40" s="14"/>
      <c r="K40" s="12" t="str">
        <f>IF(B40&lt;=B39,A40,A39)</f>
        <v>Honduras</v>
      </c>
      <c r="L40" s="12">
        <f>VLOOKUP(K40,$A$37:$I$40,2,FALSE)</f>
        <v>0</v>
      </c>
      <c r="M40" s="12"/>
      <c r="N40" s="12" t="str">
        <f>IF(L40&lt;=L38,K40,K38)</f>
        <v>Honduras</v>
      </c>
      <c r="O40" s="12">
        <f>VLOOKUP(N40,$A$37:$I$40,2,FALSE)</f>
        <v>0</v>
      </c>
      <c r="P40" s="12"/>
      <c r="Q40" s="12" t="str">
        <f>IF(O40&lt;=O37,N40,N37)</f>
        <v>Honduras</v>
      </c>
      <c r="R40" s="12">
        <f>VLOOKUP(Q40,$A$37:$I$40,2,FALSE)</f>
        <v>0</v>
      </c>
      <c r="S40" s="12">
        <f>VLOOKUP(Q40,$A$37:$I$40,9,FALSE)</f>
        <v>0</v>
      </c>
      <c r="T40" s="12"/>
      <c r="U40" s="12" t="str">
        <f>IF(AND(R39=R40,S40&gt;S39),Q39,Q40)</f>
        <v>Honduras</v>
      </c>
      <c r="V40" s="12">
        <f>VLOOKUP(U40,$A$37:$I$40,2,FALSE)</f>
        <v>0</v>
      </c>
      <c r="W40" s="12">
        <f>VLOOKUP(U40,$A$37:$I$40,9,FALSE)</f>
        <v>0</v>
      </c>
      <c r="X40" s="12" t="str">
        <f>IF(AND(V38=V40,W40&gt;W38),U38,U40)</f>
        <v>Honduras</v>
      </c>
      <c r="Y40" s="12">
        <f>VLOOKUP(X40,$A$37:$I$40,2,FALSE)</f>
        <v>0</v>
      </c>
      <c r="Z40" s="12">
        <f>VLOOKUP(X40,$A$37:$I$40,9,FALSE)</f>
        <v>0</v>
      </c>
      <c r="AA40" s="12"/>
      <c r="AB40" s="12" t="str">
        <f>IF(AND(Y40=Y37,Z40&gt;Z37),X37,X40)</f>
        <v>Honduras</v>
      </c>
      <c r="AC40" s="12">
        <f>VLOOKUP(AB40,$A$37:$I$40,2,FALSE)</f>
        <v>0</v>
      </c>
      <c r="AD40" s="12">
        <f>VLOOKUP(AB40,$A$37:$I$40,9,FALSE)</f>
        <v>0</v>
      </c>
      <c r="AE40" s="12">
        <f>VLOOKUP(AB40,$A$37:$I$40,7,FALSE)</f>
        <v>0</v>
      </c>
      <c r="AF40" s="12" t="str">
        <f>IF(AND(AC40=AC39,AD40=AD39,AE40&gt;AE39),X39,X40)</f>
        <v>Honduras</v>
      </c>
      <c r="AG40" s="12">
        <f>VLOOKUP(AF40,$A$37:$I$40,2,FALSE)</f>
        <v>0</v>
      </c>
      <c r="AH40" s="12">
        <f>VLOOKUP(AF40,$A$37:$I$40,9,FALSE)</f>
        <v>0</v>
      </c>
      <c r="AI40" s="12">
        <f>VLOOKUP(AF40,$A$37:$I$40,7,FALSE)</f>
        <v>0</v>
      </c>
      <c r="AJ40" s="12" t="str">
        <f>IF(AND(AG38=AG40,AH38=AH40,AI40&gt;AI38),AF38,AF40)</f>
        <v>Honduras</v>
      </c>
      <c r="AK40" s="12">
        <f>VLOOKUP(AJ40,$A$37:$I$40,2,FALSE)</f>
        <v>0</v>
      </c>
      <c r="AL40" s="12">
        <f>VLOOKUP(AJ40,$A$37:$I$40,9,FALSE)</f>
        <v>0</v>
      </c>
      <c r="AM40" s="12">
        <f>VLOOKUP(AJ40,$A$37:$I$40,7,FALSE)</f>
        <v>0</v>
      </c>
      <c r="AN40" s="12" t="str">
        <f>IF(AND(AK40=AK37,AL40=AL37,AM40&gt;AM37),AJ37,AJ40)</f>
        <v>Honduras</v>
      </c>
      <c r="AO40" s="12">
        <f>VLOOKUP(AN40,$A$37:$I$40,2,FALSE)</f>
        <v>0</v>
      </c>
      <c r="AP40" s="12">
        <f>IF(Tabela!O2="www.guiadecompra.com",VLOOKUP(AN40,$A$37:$I$40,9,FALSE),0)</f>
        <v>0</v>
      </c>
      <c r="AQ40" s="12">
        <f>VLOOKUP(AN40,$A$37:$I$40,7,FALSE)</f>
        <v>0</v>
      </c>
      <c r="AR40" s="13"/>
    </row>
    <row r="41" spans="1:44" x14ac:dyDescent="0.2">
      <c r="A41" s="5"/>
      <c r="B41" s="8"/>
      <c r="C41" s="8"/>
      <c r="D41" s="8"/>
      <c r="E41" s="8"/>
      <c r="F41" s="8"/>
      <c r="G41" s="8"/>
      <c r="H41" s="8"/>
      <c r="I41" s="8"/>
      <c r="J41" s="8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3"/>
    </row>
    <row r="42" spans="1:44" x14ac:dyDescent="0.2">
      <c r="A42" s="5"/>
      <c r="B42" s="8"/>
      <c r="C42" s="8"/>
      <c r="D42" s="8"/>
      <c r="E42" s="8"/>
      <c r="F42" s="8"/>
      <c r="G42" s="8"/>
      <c r="H42" s="8"/>
      <c r="I42" s="8"/>
      <c r="J42" s="8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3"/>
    </row>
    <row r="43" spans="1:44" x14ac:dyDescent="0.2">
      <c r="A43" s="5"/>
      <c r="B43" s="343" t="s">
        <v>58</v>
      </c>
      <c r="C43" s="343"/>
      <c r="D43" s="343"/>
      <c r="E43" s="343"/>
      <c r="F43" s="343"/>
      <c r="G43" s="343"/>
      <c r="H43" s="343"/>
      <c r="I43" s="343"/>
      <c r="J43" s="8"/>
      <c r="K43" s="12" t="s">
        <v>49</v>
      </c>
      <c r="L43" s="12"/>
      <c r="M43" s="12"/>
      <c r="N43" s="12" t="s">
        <v>50</v>
      </c>
      <c r="O43" s="12"/>
      <c r="P43" s="12"/>
      <c r="Q43" s="12" t="s">
        <v>51</v>
      </c>
      <c r="R43" s="12"/>
      <c r="S43" s="12"/>
      <c r="T43" s="12"/>
      <c r="U43" s="12" t="s">
        <v>51</v>
      </c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3"/>
    </row>
    <row r="44" spans="1:44" x14ac:dyDescent="0.2">
      <c r="A44" s="41" t="s">
        <v>52</v>
      </c>
      <c r="B44" s="42" t="s">
        <v>6</v>
      </c>
      <c r="C44" s="43" t="s">
        <v>7</v>
      </c>
      <c r="D44" s="43" t="s">
        <v>8</v>
      </c>
      <c r="E44" s="43" t="s">
        <v>9</v>
      </c>
      <c r="F44" s="43" t="s">
        <v>10</v>
      </c>
      <c r="G44" s="43" t="s">
        <v>11</v>
      </c>
      <c r="H44" s="43" t="s">
        <v>12</v>
      </c>
      <c r="I44" s="43" t="s">
        <v>13</v>
      </c>
      <c r="J44" s="15"/>
      <c r="K44" s="12"/>
      <c r="L44" s="12" t="s">
        <v>6</v>
      </c>
      <c r="M44" s="12"/>
      <c r="N44" s="12"/>
      <c r="O44" s="12" t="s">
        <v>53</v>
      </c>
      <c r="P44" s="12"/>
      <c r="Q44" s="12"/>
      <c r="R44" s="12" t="s">
        <v>6</v>
      </c>
      <c r="S44" s="12" t="s">
        <v>13</v>
      </c>
      <c r="T44" s="12"/>
      <c r="U44" s="12"/>
      <c r="V44" s="12" t="s">
        <v>6</v>
      </c>
      <c r="W44" s="12" t="s">
        <v>13</v>
      </c>
      <c r="X44" s="12"/>
      <c r="Y44" s="12" t="s">
        <v>6</v>
      </c>
      <c r="Z44" s="12" t="s">
        <v>13</v>
      </c>
      <c r="AA44" s="12"/>
      <c r="AB44" s="12"/>
      <c r="AC44" s="12" t="s">
        <v>6</v>
      </c>
      <c r="AD44" s="12" t="s">
        <v>13</v>
      </c>
      <c r="AE44" s="12" t="s">
        <v>11</v>
      </c>
      <c r="AF44" s="12"/>
      <c r="AG44" s="12" t="s">
        <v>6</v>
      </c>
      <c r="AH44" s="12" t="s">
        <v>13</v>
      </c>
      <c r="AI44" s="12" t="s">
        <v>11</v>
      </c>
      <c r="AJ44" s="12"/>
      <c r="AK44" s="12" t="s">
        <v>6</v>
      </c>
      <c r="AL44" s="12" t="s">
        <v>13</v>
      </c>
      <c r="AM44" s="12" t="s">
        <v>11</v>
      </c>
      <c r="AN44" s="12"/>
      <c r="AO44" s="12" t="s">
        <v>6</v>
      </c>
      <c r="AP44" s="12" t="s">
        <v>13</v>
      </c>
      <c r="AQ44" s="12" t="s">
        <v>11</v>
      </c>
      <c r="AR44" s="13"/>
    </row>
    <row r="45" spans="1:44" x14ac:dyDescent="0.2">
      <c r="A45" s="44" t="str">
        <f>info!F10</f>
        <v>Argentina</v>
      </c>
      <c r="B45" s="45">
        <f>IF(Copa=FIFA,SUM(D45*3)+E45,0)</f>
        <v>0</v>
      </c>
      <c r="C45" s="46">
        <f>COUNT(Tabela!H46,Tabela!H48,Tabela!H50)</f>
        <v>0</v>
      </c>
      <c r="D45" s="46">
        <f>SUM(IF(Tabela!$H$46&gt;Tabela!$J$46,COUNT(Tabela!$H$46)),IF(Tabela!$H$48&gt;Tabela!$J$48,COUNT(Tabela!$H$48)),IF(Tabela!$H$50&gt;Tabela!$J$50,COUNT(Tabela!$H$50)))</f>
        <v>0</v>
      </c>
      <c r="E45" s="46">
        <f>SUM(IF(Tabela!$H$46=Tabela!$J$46,COUNT(Tabela!$H$46)),IF(Tabela!$H$48=Tabela!$J$48,COUNT(Tabela!$H$48)),IF(Tabela!$H$50=Tabela!$J$50,COUNT(Tabela!$H$50)))</f>
        <v>0</v>
      </c>
      <c r="F45" s="46">
        <f>SUM(IF(Tabela!$H$46&lt;Tabela!$J$46,COUNT(Tabela!$H$46)),IF(Tabela!$H$48&lt;Tabela!$J$48,COUNT(Tabela!$H$48)),IF(Tabela!$H$50&lt;Tabela!$J$50,COUNT(Tabela!$H$50)))</f>
        <v>0</v>
      </c>
      <c r="G45" s="46">
        <f>SUM(Tabela!H46+Tabela!H48+Tabela!H50)</f>
        <v>0</v>
      </c>
      <c r="H45" s="46">
        <f>SUM(Tabela!J46+Tabela!J48+Tabela!J50)</f>
        <v>0</v>
      </c>
      <c r="I45" s="46">
        <f>IF(BR20I4=Tabela!D2,SUM(G45-H45),"X")</f>
        <v>0</v>
      </c>
      <c r="J45" s="14"/>
      <c r="K45" s="12" t="str">
        <f>IF(B45&gt;=B46,A45,A46)</f>
        <v>Argentina</v>
      </c>
      <c r="L45" s="12">
        <f>VLOOKUP(K45,$A$45:$I$48,2,FALSE)</f>
        <v>0</v>
      </c>
      <c r="M45" s="12"/>
      <c r="N45" s="12" t="str">
        <f>IF(L45&gt;=L47,K45,K47)</f>
        <v>Argentina</v>
      </c>
      <c r="O45" s="12">
        <f>VLOOKUP(N45,$A$45:$I$48,2,FALSE)</f>
        <v>0</v>
      </c>
      <c r="P45" s="12"/>
      <c r="Q45" s="12" t="str">
        <f>IF(O45&gt;=O48,N45,N48)</f>
        <v>Argentina</v>
      </c>
      <c r="R45" s="12">
        <f>VLOOKUP(Q45,$A$45:$I$48,2,FALSE)</f>
        <v>0</v>
      </c>
      <c r="S45" s="12">
        <f>VLOOKUP(Q45,$A$45:$I$48,9,FALSE)</f>
        <v>0</v>
      </c>
      <c r="T45" s="12"/>
      <c r="U45" s="12" t="str">
        <f>IF(AND(R45=R46,S46&gt;S45),Q46,Q45)</f>
        <v>Argentina</v>
      </c>
      <c r="V45" s="12">
        <f>VLOOKUP(U45,$A$45:$I$48,2,FALSE)</f>
        <v>0</v>
      </c>
      <c r="W45" s="12">
        <f>VLOOKUP(U45,$A$45:$I$48,9,FALSE)</f>
        <v>0</v>
      </c>
      <c r="X45" s="12" t="str">
        <f>IF(AND(V45=V47,W47&gt;W45),U47,U45)</f>
        <v>Argentina</v>
      </c>
      <c r="Y45" s="12">
        <f>VLOOKUP(X45,$A$45:$I$48,2,FALSE)</f>
        <v>0</v>
      </c>
      <c r="Z45" s="12">
        <f>VLOOKUP(X45,$A$45:$I$48,9,FALSE)</f>
        <v>0</v>
      </c>
      <c r="AA45" s="12"/>
      <c r="AB45" s="12" t="str">
        <f>IF(AND(Y45=Y48,Z48&gt;Z45),X48,X45)</f>
        <v>Argentina</v>
      </c>
      <c r="AC45" s="12">
        <f>VLOOKUP(AB45,$A$45:$I$48,2,FALSE)</f>
        <v>0</v>
      </c>
      <c r="AD45" s="12">
        <f>VLOOKUP(AB45,$A$45:$I$48,9,FALSE)</f>
        <v>0</v>
      </c>
      <c r="AE45" s="12">
        <f>VLOOKUP(AB45,$A$45:$I$48,7,FALSE)</f>
        <v>0</v>
      </c>
      <c r="AF45" s="12" t="str">
        <f>IF(AND(AC45=AC46,AD45=AD46,AE46&gt;AE45),AB46,AB45)</f>
        <v>Argentina</v>
      </c>
      <c r="AG45" s="12">
        <f>VLOOKUP(AF45,$A$45:$I$48,2,FALSE)</f>
        <v>0</v>
      </c>
      <c r="AH45" s="12">
        <f>VLOOKUP(AF45,$A$45:$I$48,9,FALSE)</f>
        <v>0</v>
      </c>
      <c r="AI45" s="12">
        <f>VLOOKUP(AF45,$A$45:$I$48,7,FALSE)</f>
        <v>0</v>
      </c>
      <c r="AJ45" s="12" t="str">
        <f>IF(AND(AG45=AG47,AH45=AH47,AI47&gt;AI45),AF47,AF45)</f>
        <v>Argentina</v>
      </c>
      <c r="AK45" s="12">
        <f>VLOOKUP(AJ45,$A$45:$I$48,2,FALSE)</f>
        <v>0</v>
      </c>
      <c r="AL45" s="12">
        <f>VLOOKUP(AJ45,$A$45:$I$48,9,FALSE)</f>
        <v>0</v>
      </c>
      <c r="AM45" s="12">
        <f>VLOOKUP(AJ45,$A$45:$I$48,7,FALSE)</f>
        <v>0</v>
      </c>
      <c r="AN45" s="12" t="str">
        <f>IF(AND(AK45=AK48,AL45=AL48,AM48&gt;AM45),AJ48,AJ45)</f>
        <v>Argentina</v>
      </c>
      <c r="AO45" s="12">
        <f>VLOOKUP(AN45,$A$45:$I$48,2,FALSE)</f>
        <v>0</v>
      </c>
      <c r="AP45" s="12">
        <f>IF(Tabela!O2="www.guiadecompra.com",VLOOKUP(AN45,$A$45:$I$48,9,FALSE),0)</f>
        <v>0</v>
      </c>
      <c r="AQ45" s="12">
        <f>VLOOKUP(AN45,$A$45:$I$48,7,FALSE)</f>
        <v>0</v>
      </c>
      <c r="AR45" s="13"/>
    </row>
    <row r="46" spans="1:44" x14ac:dyDescent="0.2">
      <c r="A46" s="44" t="str">
        <f>info!F11</f>
        <v>Bósnia</v>
      </c>
      <c r="B46" s="45">
        <f>IF(Copa=FIFA,SUM(D46*3)+E46,0)</f>
        <v>0</v>
      </c>
      <c r="C46" s="46">
        <f>COUNT(Tabela!J46,Tabela!H49,Tabela!H51)</f>
        <v>0</v>
      </c>
      <c r="D46" s="46">
        <f>SUM(IF(Tabela!$J$46&gt;Tabela!$H$46,COUNT(Tabela!$J$46)),IF(Tabela!$H$49&gt;Tabela!$J$49,COUNT(Tabela!$H$49)),IF(Tabela!$H$51&gt;Tabela!$J$51,COUNT(Tabela!$H$51)))</f>
        <v>0</v>
      </c>
      <c r="E46" s="46">
        <f>SUM(IF(Tabela!$J$46=Tabela!$H$46,COUNT(Tabela!$J$46)),IF(Tabela!$H$49=Tabela!$J$49,COUNT(Tabela!$H$49)),IF(Tabela!$H$51=Tabela!$J$51,COUNT(Tabela!$H$51)))</f>
        <v>0</v>
      </c>
      <c r="F46" s="46">
        <f>SUM(IF(Tabela!$J$46&lt;Tabela!$H$46,COUNT(Tabela!$J$46)),IF(Tabela!$H$49&lt;Tabela!$J$49,COUNT(Tabela!$H$49)),IF(Tabela!$H$51&lt;Tabela!$J$51,COUNT(Tabela!$H$51)))</f>
        <v>0</v>
      </c>
      <c r="G46" s="46">
        <f>SUM(Tabela!J46+Tabela!H49+Tabela!H51)</f>
        <v>0</v>
      </c>
      <c r="H46" s="46">
        <f>SUM(Tabela!H46+Tabela!J49+Tabela!J51)</f>
        <v>0</v>
      </c>
      <c r="I46" s="46">
        <f>IF(BR20I4=Tabela!D2,SUM(G46-H46),"X")</f>
        <v>0</v>
      </c>
      <c r="J46" s="14"/>
      <c r="K46" s="12" t="str">
        <f>IF(B46&lt;=B45,A46,A45)</f>
        <v>Bósnia</v>
      </c>
      <c r="L46" s="12">
        <f>VLOOKUP(K46,$A$45:$I$48,2,FALSE)</f>
        <v>0</v>
      </c>
      <c r="M46" s="12"/>
      <c r="N46" s="12" t="str">
        <f>IF(L46&gt;=L48,K46,K48)</f>
        <v>Bósnia</v>
      </c>
      <c r="O46" s="12">
        <f>VLOOKUP(N46,$A$45:$I$48,2,FALSE)</f>
        <v>0</v>
      </c>
      <c r="P46" s="12"/>
      <c r="Q46" s="12" t="str">
        <f>IF(O46&gt;=O47,N46,N47)</f>
        <v>Bósnia</v>
      </c>
      <c r="R46" s="12">
        <f>VLOOKUP(Q46,$A$45:$I$48,2,FALSE)</f>
        <v>0</v>
      </c>
      <c r="S46" s="12">
        <f>VLOOKUP(Q46,$A$45:$I$48,9,FALSE)</f>
        <v>0</v>
      </c>
      <c r="T46" s="12"/>
      <c r="U46" s="12" t="str">
        <f>IF(AND(R45=R46,S46&gt;S45),Q45,Q46)</f>
        <v>Bósnia</v>
      </c>
      <c r="V46" s="12">
        <f>VLOOKUP(U46,$A$45:$I$48,2,FALSE)</f>
        <v>0</v>
      </c>
      <c r="W46" s="12">
        <f>VLOOKUP(U46,$A$45:$I$48,9,FALSE)</f>
        <v>0</v>
      </c>
      <c r="X46" s="12" t="str">
        <f>IF(AND(V46=V48,W48&gt;W46),U48,U46)</f>
        <v>Bósnia</v>
      </c>
      <c r="Y46" s="12">
        <f>VLOOKUP(X46,$A$45:$I$48,2,FALSE)</f>
        <v>0</v>
      </c>
      <c r="Z46" s="12">
        <f>VLOOKUP(X46,$A$45:$I$48,9,FALSE)</f>
        <v>0</v>
      </c>
      <c r="AA46" s="12"/>
      <c r="AB46" s="12" t="str">
        <f>IF(AND(Y46=Y47,Z47&gt;Z46),X47,X46)</f>
        <v>Bósnia</v>
      </c>
      <c r="AC46" s="12">
        <f>VLOOKUP(AB46,$A$45:$I$48,2,FALSE)</f>
        <v>0</v>
      </c>
      <c r="AD46" s="12">
        <f>VLOOKUP(AB46,$A$45:$I$48,9,FALSE)</f>
        <v>0</v>
      </c>
      <c r="AE46" s="12">
        <f>VLOOKUP(AB46,$A$45:$I$48,7,FALSE)</f>
        <v>0</v>
      </c>
      <c r="AF46" s="12" t="str">
        <f>IF(AND(AC46=AC45,AD46=AD45,AE46&gt;AE45),AB45,AB46)</f>
        <v>Bósnia</v>
      </c>
      <c r="AG46" s="12">
        <f>VLOOKUP(AF46,$A$45:$I$48,2,FALSE)</f>
        <v>0</v>
      </c>
      <c r="AH46" s="12">
        <f>VLOOKUP(AF46,$A$45:$I$48,9,FALSE)</f>
        <v>0</v>
      </c>
      <c r="AI46" s="12">
        <f>VLOOKUP(AF46,$A$45:$I$48,7,FALSE)</f>
        <v>0</v>
      </c>
      <c r="AJ46" s="12" t="str">
        <f>IF(AND(AG46=AG48,AH46=AH48,AI48&gt;AI46),AF48,AF46)</f>
        <v>Bósnia</v>
      </c>
      <c r="AK46" s="12">
        <f>VLOOKUP(AJ46,$A$45:$I$48,2,FALSE)</f>
        <v>0</v>
      </c>
      <c r="AL46" s="12">
        <f>VLOOKUP(AJ46,$A$45:$I$48,9,FALSE)</f>
        <v>0</v>
      </c>
      <c r="AM46" s="12">
        <f>VLOOKUP(AJ46,$A$45:$I$48,7,FALSE)</f>
        <v>0</v>
      </c>
      <c r="AN46" s="12" t="str">
        <f>IF(AND(AK46=AK47,AL46=AL47,AM47&gt;AM46),AJ47,AJ46)</f>
        <v>Bósnia</v>
      </c>
      <c r="AO46" s="12">
        <f>VLOOKUP(AN46,$A$45:$I$48,2,FALSE)</f>
        <v>0</v>
      </c>
      <c r="AP46" s="12">
        <f>IF(Tabela!O2="www.guiadecompra.com",VLOOKUP(AN46,$A$45:$I$48,9,FALSE),0)</f>
        <v>0</v>
      </c>
      <c r="AQ46" s="12">
        <f>VLOOKUP(AN46,$A$45:$I$48,7,FALSE)</f>
        <v>0</v>
      </c>
      <c r="AR46" s="13"/>
    </row>
    <row r="47" spans="1:44" x14ac:dyDescent="0.2">
      <c r="A47" s="44" t="str">
        <f>info!F12</f>
        <v>Iran</v>
      </c>
      <c r="B47" s="45">
        <f>IF(Copa=FIFA,SUM(D47*3)+E47,0)</f>
        <v>0</v>
      </c>
      <c r="C47" s="46">
        <f>COUNT(Tabela!H47,Tabela!J48,Tabela!J51)</f>
        <v>0</v>
      </c>
      <c r="D47" s="46">
        <f>SUM(IF(Tabela!$H$47&gt;Tabela!$J$47,COUNT(Tabela!$H$47)),IF(Tabela!$J$48&gt;Tabela!$H$48,COUNT(Tabela!$J$48)),IF(Tabela!$J$51&gt;Tabela!$H$51,COUNT(Tabela!$J$51)))</f>
        <v>0</v>
      </c>
      <c r="E47" s="46">
        <f>SUM(IF(Tabela!$H$47=Tabela!$J$47,COUNT(Tabela!$H$47)),IF(Tabela!$J$48=Tabela!$H$48,COUNT(Tabela!$J$48)),IF(Tabela!$J$51=Tabela!$H$51,COUNT(Tabela!$J$51)))</f>
        <v>0</v>
      </c>
      <c r="F47" s="46">
        <f>SUM(IF(Tabela!$H$47&lt;Tabela!$J$47,COUNT(Tabela!$H$47)),IF(Tabela!$J$48&lt;Tabela!$H$48,COUNT(Tabela!$J$48)),IF(Tabela!$J$51&lt;Tabela!$H$51,COUNT(Tabela!$J$51)))</f>
        <v>0</v>
      </c>
      <c r="G47" s="46">
        <f>SUM(Tabela!H47+Tabela!J48+Tabela!J51)</f>
        <v>0</v>
      </c>
      <c r="H47" s="46">
        <f>SUM(Tabela!J47+Tabela!H48+Tabela!H51)</f>
        <v>0</v>
      </c>
      <c r="I47" s="46">
        <f>IF(BR20I4=Tabela!D2,SUM(G47-H47),"X")</f>
        <v>0</v>
      </c>
      <c r="J47" s="14"/>
      <c r="K47" s="12" t="str">
        <f>IF(B47&gt;=B48,A47,A48)</f>
        <v>Iran</v>
      </c>
      <c r="L47" s="12">
        <f>VLOOKUP(K47,$A$45:$I$48,2,FALSE)</f>
        <v>0</v>
      </c>
      <c r="M47" s="12"/>
      <c r="N47" s="12" t="str">
        <f>IF(L47&lt;=L45,K47,K45)</f>
        <v>Iran</v>
      </c>
      <c r="O47" s="12">
        <f>VLOOKUP(N47,$A$45:$I$48,2,FALSE)</f>
        <v>0</v>
      </c>
      <c r="P47" s="12"/>
      <c r="Q47" s="12" t="str">
        <f>IF(O47&lt;=O46,N47,N46)</f>
        <v>Iran</v>
      </c>
      <c r="R47" s="12">
        <f>VLOOKUP(Q47,$A$45:$I$48,2,FALSE)</f>
        <v>0</v>
      </c>
      <c r="S47" s="12">
        <f>VLOOKUP(Q47,$A$45:$I$48,9,FALSE)</f>
        <v>0</v>
      </c>
      <c r="T47" s="12"/>
      <c r="U47" s="12" t="str">
        <f>IF(AND(R47=R48,S48&gt;S47),Q48,Q47)</f>
        <v>Iran</v>
      </c>
      <c r="V47" s="12">
        <f>VLOOKUP(U47,$A$45:$I$48,2,FALSE)</f>
        <v>0</v>
      </c>
      <c r="W47" s="12">
        <f>VLOOKUP(U47,$A$45:$I$48,9,FALSE)</f>
        <v>0</v>
      </c>
      <c r="X47" s="12" t="str">
        <f>IF(AND(V45=V47,W47&gt;W45),U45,U47)</f>
        <v>Iran</v>
      </c>
      <c r="Y47" s="12">
        <f>VLOOKUP(X47,$A$45:$I$48,2,FALSE)</f>
        <v>0</v>
      </c>
      <c r="Z47" s="12">
        <f>VLOOKUP(X47,$A$45:$I$48,9,FALSE)</f>
        <v>0</v>
      </c>
      <c r="AA47" s="12"/>
      <c r="AB47" s="12" t="str">
        <f>IF(AND(Y47=Y46,Z47&gt;Z46),X46,X47)</f>
        <v>Iran</v>
      </c>
      <c r="AC47" s="12">
        <f>VLOOKUP(AB47,$A$45:$I$48,2,FALSE)</f>
        <v>0</v>
      </c>
      <c r="AD47" s="12">
        <f>VLOOKUP(AB47,$A$45:$I$48,9,FALSE)</f>
        <v>0</v>
      </c>
      <c r="AE47" s="12">
        <f>VLOOKUP(AB47,$A$45:$I$48,7,FALSE)</f>
        <v>0</v>
      </c>
      <c r="AF47" s="12" t="str">
        <f>IF(AND(AC47=AC48,AD47=AD48,AE48&gt;AE47),AB48,AB47)</f>
        <v>Iran</v>
      </c>
      <c r="AG47" s="12">
        <f>VLOOKUP(AF47,$A$45:$I$48,2,FALSE)</f>
        <v>0</v>
      </c>
      <c r="AH47" s="12">
        <f>VLOOKUP(AF47,$A$45:$I$48,9,FALSE)</f>
        <v>0</v>
      </c>
      <c r="AI47" s="12">
        <f>VLOOKUP(AF47,$A$45:$I$48,7,FALSE)</f>
        <v>0</v>
      </c>
      <c r="AJ47" s="12" t="str">
        <f>IF(AND(AG47=AG45,AH47=AH45,AI47&gt;AI45),AF45,AF47)</f>
        <v>Iran</v>
      </c>
      <c r="AK47" s="12">
        <f>VLOOKUP(AJ47,$A$45:$I$48,2,FALSE)</f>
        <v>0</v>
      </c>
      <c r="AL47" s="12">
        <f>VLOOKUP(AJ47,$A$45:$I$48,9,FALSE)</f>
        <v>0</v>
      </c>
      <c r="AM47" s="12">
        <f>VLOOKUP(AJ47,$A$45:$I$48,7,FALSE)</f>
        <v>0</v>
      </c>
      <c r="AN47" s="12" t="str">
        <f>IF(AND(AK47=AK46,AL47=AL46,AM47&gt;AM46),AJ46,AJ47)</f>
        <v>Iran</v>
      </c>
      <c r="AO47" s="12">
        <f>VLOOKUP(AN47,$A$45:$I$48,2,FALSE)</f>
        <v>0</v>
      </c>
      <c r="AP47" s="12">
        <f>IF(Tabela!O2="www.guiadecompra.com",VLOOKUP(AN47,$A$45:$I$48,9,FALSE),0)</f>
        <v>0</v>
      </c>
      <c r="AQ47" s="12">
        <f>VLOOKUP(AN47,$A$45:$I$48,7,FALSE)</f>
        <v>0</v>
      </c>
      <c r="AR47" s="13"/>
    </row>
    <row r="48" spans="1:44" x14ac:dyDescent="0.2">
      <c r="A48" s="44" t="str">
        <f>info!F13</f>
        <v>Nigéria</v>
      </c>
      <c r="B48" s="45">
        <f>IF(Copa=FIFA,SUM(D48*3)+E48,0)</f>
        <v>0</v>
      </c>
      <c r="C48" s="46">
        <f>COUNT(Tabela!J47,Tabela!J49,Tabela!J50)</f>
        <v>0</v>
      </c>
      <c r="D48" s="46">
        <f>SUM(IF(Tabela!$J$47&gt;Tabela!$H$47,COUNT(Tabela!$J$47)),IF(Tabela!$J$49&gt;Tabela!$H$49,COUNT(Tabela!$J$49)),IF(Tabela!$J$50&gt;Tabela!$H$50,COUNT(Tabela!$J$50)))</f>
        <v>0</v>
      </c>
      <c r="E48" s="46">
        <f>SUM(IF(Tabela!$J$47=Tabela!$H$47,COUNT(Tabela!$J$47)),IF(Tabela!$J$49=Tabela!$H$49,COUNT(Tabela!$J$49)),IF(Tabela!$J$50=Tabela!$H$50,COUNT(Tabela!$J$50)))</f>
        <v>0</v>
      </c>
      <c r="F48" s="46">
        <f>SUM(IF(Tabela!$J$47&lt;Tabela!$H$47,COUNT(Tabela!$J$47)),IF(Tabela!$J$49&lt;Tabela!$H$49,COUNT(Tabela!$J$49)),IF(Tabela!$J$50&lt;Tabela!$H$50,COUNT(Tabela!$J$50)))</f>
        <v>0</v>
      </c>
      <c r="G48" s="46">
        <f>SUM(Tabela!J47+Tabela!J49+Tabela!J50)</f>
        <v>0</v>
      </c>
      <c r="H48" s="46">
        <f>SUM(Tabela!H47+Tabela!H49+Tabela!H50)</f>
        <v>0</v>
      </c>
      <c r="I48" s="46">
        <f>IF(BR20I4=Tabela!D2,SUM(G48-H48),"X")</f>
        <v>0</v>
      </c>
      <c r="J48" s="14"/>
      <c r="K48" s="12" t="str">
        <f>IF(B48&lt;=B47,A48,A47)</f>
        <v>Nigéria</v>
      </c>
      <c r="L48" s="12">
        <f>VLOOKUP(K48,$A$45:$I$48,2,FALSE)</f>
        <v>0</v>
      </c>
      <c r="M48" s="12"/>
      <c r="N48" s="12" t="str">
        <f>IF(L48&lt;=L46,K48,K46)</f>
        <v>Nigéria</v>
      </c>
      <c r="O48" s="12">
        <f>VLOOKUP(N48,$A$45:$I$48,2,FALSE)</f>
        <v>0</v>
      </c>
      <c r="P48" s="12"/>
      <c r="Q48" s="12" t="str">
        <f>IF(O48&lt;=O45,N48,N45)</f>
        <v>Nigéria</v>
      </c>
      <c r="R48" s="12">
        <f>VLOOKUP(Q48,$A$45:$I$48,2,FALSE)</f>
        <v>0</v>
      </c>
      <c r="S48" s="12">
        <f>VLOOKUP(Q48,$A$45:$I$48,9,FALSE)</f>
        <v>0</v>
      </c>
      <c r="T48" s="12"/>
      <c r="U48" s="12" t="str">
        <f>IF(AND(R47=R48,S48&gt;S47),Q47,Q48)</f>
        <v>Nigéria</v>
      </c>
      <c r="V48" s="12">
        <f>VLOOKUP(U48,$A$45:$I$48,2,FALSE)</f>
        <v>0</v>
      </c>
      <c r="W48" s="12">
        <f>VLOOKUP(U48,$A$45:$I$48,9,FALSE)</f>
        <v>0</v>
      </c>
      <c r="X48" s="12" t="str">
        <f>IF(AND(V46=V48,W48&gt;W46),U46,U48)</f>
        <v>Nigéria</v>
      </c>
      <c r="Y48" s="12">
        <f>VLOOKUP(X48,$A$45:$I$48,2,FALSE)</f>
        <v>0</v>
      </c>
      <c r="Z48" s="12">
        <f>VLOOKUP(X48,$A$45:$I$48,9,FALSE)</f>
        <v>0</v>
      </c>
      <c r="AA48" s="12"/>
      <c r="AB48" s="12" t="str">
        <f>IF(AND(Y48=Y45,Z48&gt;Z45),X45,X48)</f>
        <v>Nigéria</v>
      </c>
      <c r="AC48" s="12">
        <f>VLOOKUP(AB48,$A$45:$I$48,2,FALSE)</f>
        <v>0</v>
      </c>
      <c r="AD48" s="12">
        <f>VLOOKUP(AB48,$A$45:$I$48,9,FALSE)</f>
        <v>0</v>
      </c>
      <c r="AE48" s="12">
        <f>VLOOKUP(AB48,$A$45:$I$48,7,FALSE)</f>
        <v>0</v>
      </c>
      <c r="AF48" s="12" t="str">
        <f>IF(AND(AC48=AC47,AD48=AD47,AE48&gt;AE47),X47,X48)</f>
        <v>Nigéria</v>
      </c>
      <c r="AG48" s="12">
        <f>VLOOKUP(AF48,$A$45:$I$48,2,FALSE)</f>
        <v>0</v>
      </c>
      <c r="AH48" s="12">
        <f>VLOOKUP(AF48,$A$45:$I$48,9,FALSE)</f>
        <v>0</v>
      </c>
      <c r="AI48" s="12">
        <f>VLOOKUP(AF48,$A$45:$I$48,7,FALSE)</f>
        <v>0</v>
      </c>
      <c r="AJ48" s="12" t="str">
        <f>IF(AND(AG46=AG48,AH46=AH48,AI48&gt;AI46),AF46,AF48)</f>
        <v>Nigéria</v>
      </c>
      <c r="AK48" s="12">
        <f>VLOOKUP(AJ48,$A$45:$I$48,2,FALSE)</f>
        <v>0</v>
      </c>
      <c r="AL48" s="12">
        <f>VLOOKUP(AJ48,$A$45:$I$48,9,FALSE)</f>
        <v>0</v>
      </c>
      <c r="AM48" s="12">
        <f>VLOOKUP(AJ48,$A$45:$I$48,7,FALSE)</f>
        <v>0</v>
      </c>
      <c r="AN48" s="12" t="str">
        <f>IF(AND(AK48=AK45,AL48=AL45,AM48&gt;AM45),AJ45,AJ48)</f>
        <v>Nigéria</v>
      </c>
      <c r="AO48" s="12">
        <f>VLOOKUP(AN48,$A$45:$I$48,2,FALSE)</f>
        <v>0</v>
      </c>
      <c r="AP48" s="12">
        <f>IF(Tabela!O2="www.guiadecompra.com",VLOOKUP(AN48,$A$45:$I$48,9,FALSE),0)</f>
        <v>0</v>
      </c>
      <c r="AQ48" s="12">
        <f>VLOOKUP(AN48,$A$45:$I$48,7,FALSE)</f>
        <v>0</v>
      </c>
      <c r="AR48" s="13"/>
    </row>
    <row r="49" spans="1:44" x14ac:dyDescent="0.2">
      <c r="A49" s="5"/>
      <c r="B49" s="8"/>
      <c r="C49" s="8"/>
      <c r="D49" s="8"/>
      <c r="E49" s="8"/>
      <c r="F49" s="8"/>
      <c r="G49" s="8"/>
      <c r="H49" s="8"/>
      <c r="I49" s="8"/>
      <c r="J49" s="8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3"/>
    </row>
    <row r="50" spans="1:44" x14ac:dyDescent="0.2">
      <c r="A50" s="5"/>
      <c r="B50" s="8"/>
      <c r="C50" s="8"/>
      <c r="D50" s="8"/>
      <c r="E50" s="8"/>
      <c r="F50" s="8"/>
      <c r="G50" s="8"/>
      <c r="H50" s="8"/>
      <c r="I50" s="8"/>
      <c r="J50" s="8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3"/>
    </row>
    <row r="51" spans="1:44" x14ac:dyDescent="0.2">
      <c r="A51" s="5"/>
      <c r="B51" s="342" t="s">
        <v>59</v>
      </c>
      <c r="C51" s="342"/>
      <c r="D51" s="342"/>
      <c r="E51" s="342"/>
      <c r="F51" s="342"/>
      <c r="G51" s="342"/>
      <c r="H51" s="342"/>
      <c r="I51" s="342"/>
      <c r="J51" s="8"/>
      <c r="K51" s="12" t="s">
        <v>49</v>
      </c>
      <c r="L51" s="12"/>
      <c r="M51" s="12"/>
      <c r="N51" s="12" t="s">
        <v>50</v>
      </c>
      <c r="O51" s="12"/>
      <c r="P51" s="12"/>
      <c r="Q51" s="12" t="s">
        <v>51</v>
      </c>
      <c r="R51" s="12"/>
      <c r="S51" s="12"/>
      <c r="T51" s="12"/>
      <c r="U51" s="12" t="s">
        <v>51</v>
      </c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3"/>
    </row>
    <row r="52" spans="1:44" x14ac:dyDescent="0.2">
      <c r="A52" s="41" t="s">
        <v>52</v>
      </c>
      <c r="B52" s="42" t="s">
        <v>6</v>
      </c>
      <c r="C52" s="43" t="s">
        <v>7</v>
      </c>
      <c r="D52" s="43" t="s">
        <v>8</v>
      </c>
      <c r="E52" s="43" t="s">
        <v>9</v>
      </c>
      <c r="F52" s="43" t="s">
        <v>10</v>
      </c>
      <c r="G52" s="43" t="s">
        <v>11</v>
      </c>
      <c r="H52" s="43" t="s">
        <v>12</v>
      </c>
      <c r="I52" s="43" t="s">
        <v>13</v>
      </c>
      <c r="J52" s="15"/>
      <c r="K52" s="12"/>
      <c r="L52" s="12" t="s">
        <v>6</v>
      </c>
      <c r="M52" s="12"/>
      <c r="N52" s="12"/>
      <c r="O52" s="12" t="s">
        <v>53</v>
      </c>
      <c r="P52" s="12"/>
      <c r="Q52" s="12"/>
      <c r="R52" s="12" t="s">
        <v>6</v>
      </c>
      <c r="S52" s="12" t="s">
        <v>13</v>
      </c>
      <c r="T52" s="12"/>
      <c r="U52" s="12"/>
      <c r="V52" s="12" t="s">
        <v>6</v>
      </c>
      <c r="W52" s="12" t="s">
        <v>13</v>
      </c>
      <c r="X52" s="12"/>
      <c r="Y52" s="12" t="s">
        <v>6</v>
      </c>
      <c r="Z52" s="12" t="s">
        <v>13</v>
      </c>
      <c r="AA52" s="12"/>
      <c r="AB52" s="12"/>
      <c r="AC52" s="12" t="s">
        <v>6</v>
      </c>
      <c r="AD52" s="12" t="s">
        <v>13</v>
      </c>
      <c r="AE52" s="12" t="s">
        <v>11</v>
      </c>
      <c r="AF52" s="12"/>
      <c r="AG52" s="12" t="s">
        <v>6</v>
      </c>
      <c r="AH52" s="12" t="s">
        <v>13</v>
      </c>
      <c r="AI52" s="12" t="s">
        <v>11</v>
      </c>
      <c r="AJ52" s="12"/>
      <c r="AK52" s="12" t="s">
        <v>6</v>
      </c>
      <c r="AL52" s="12" t="s">
        <v>13</v>
      </c>
      <c r="AM52" s="12" t="s">
        <v>11</v>
      </c>
      <c r="AN52" s="12"/>
      <c r="AO52" s="12" t="s">
        <v>6</v>
      </c>
      <c r="AP52" s="12" t="s">
        <v>13</v>
      </c>
      <c r="AQ52" s="12" t="s">
        <v>11</v>
      </c>
      <c r="AR52" s="13"/>
    </row>
    <row r="53" spans="1:44" x14ac:dyDescent="0.2">
      <c r="A53" s="44" t="str">
        <f>info!I10</f>
        <v>Alemanha</v>
      </c>
      <c r="B53" s="45">
        <f>IF(Copa=FIFA,SUM(D53*3)+E53,0)</f>
        <v>0</v>
      </c>
      <c r="C53" s="46">
        <f>COUNT(Tabela!H54,Tabela!H56,Tabela!H58)</f>
        <v>0</v>
      </c>
      <c r="D53" s="46">
        <f>SUM(IF(Tabela!$H$54&gt;Tabela!$J$54,COUNT(Tabela!$H$54)),IF(Tabela!$H$56&gt;Tabela!$J$56,COUNT(Tabela!$H$56)),IF(Tabela!$H$58&gt;Tabela!$J$58,COUNT(Tabela!$H$58)))</f>
        <v>0</v>
      </c>
      <c r="E53" s="46">
        <f>SUM(IF(Tabela!$H$54=Tabela!$J$54,COUNT(Tabela!$H$54)),IF(Tabela!$H$56=Tabela!$J$56,COUNT(Tabela!$H$56)),IF(Tabela!$H$58=Tabela!$J$58,COUNT(Tabela!$H$58)))</f>
        <v>0</v>
      </c>
      <c r="F53" s="46">
        <f>SUM(IF(Tabela!$H$54&lt;Tabela!$J$54,COUNT(Tabela!$H$54)),IF(Tabela!$H$56&lt;Tabela!$J$56,COUNT(Tabela!$H$56)),IF(Tabela!$H$58&lt;Tabela!$J$58,COUNT(Tabela!$H$58)))</f>
        <v>0</v>
      </c>
      <c r="G53" s="46">
        <f>SUM(Tabela!H54+Tabela!H56+Tabela!H58)</f>
        <v>0</v>
      </c>
      <c r="H53" s="46">
        <f>SUM(Tabela!J54+Tabela!J56+Tabela!J58)</f>
        <v>0</v>
      </c>
      <c r="I53" s="46">
        <f>IF(BR20I4=Tabela!D2,SUM(G53-H53),"X")</f>
        <v>0</v>
      </c>
      <c r="J53" s="14"/>
      <c r="K53" s="12" t="str">
        <f>IF(B53&gt;=B54,A53,A54)</f>
        <v>Alemanha</v>
      </c>
      <c r="L53" s="12">
        <f>VLOOKUP(K53,$A$53:$I$56,2,FALSE)</f>
        <v>0</v>
      </c>
      <c r="M53" s="12"/>
      <c r="N53" s="12" t="str">
        <f>IF(L53&gt;=L55,K53,K55)</f>
        <v>Alemanha</v>
      </c>
      <c r="O53" s="12">
        <f>VLOOKUP(N53,$A$53:$I$56,2,FALSE)</f>
        <v>0</v>
      </c>
      <c r="P53" s="12"/>
      <c r="Q53" s="12" t="str">
        <f>IF(O53&gt;=O56,N53,N56)</f>
        <v>Alemanha</v>
      </c>
      <c r="R53" s="12">
        <f>VLOOKUP(Q53,$A$53:$I$56,2,FALSE)</f>
        <v>0</v>
      </c>
      <c r="S53" s="12">
        <f>VLOOKUP(Q53,$A$53:$I$56,9,FALSE)</f>
        <v>0</v>
      </c>
      <c r="T53" s="12"/>
      <c r="U53" s="12" t="str">
        <f>IF(AND(R53=R54,S54&gt;S53),Q54,Q53)</f>
        <v>Alemanha</v>
      </c>
      <c r="V53" s="12">
        <f>VLOOKUP(U53,$A$53:$I$56,2,FALSE)</f>
        <v>0</v>
      </c>
      <c r="W53" s="12">
        <f>VLOOKUP(U53,$A$53:$I$56,9,FALSE)</f>
        <v>0</v>
      </c>
      <c r="X53" s="12" t="str">
        <f>IF(AND(V53=V55,W55&gt;W53),U55,U53)</f>
        <v>Alemanha</v>
      </c>
      <c r="Y53" s="12">
        <f>VLOOKUP(X53,$A$53:$I$56,2,FALSE)</f>
        <v>0</v>
      </c>
      <c r="Z53" s="12">
        <f>VLOOKUP(X53,$A$53:$I$56,9,FALSE)</f>
        <v>0</v>
      </c>
      <c r="AA53" s="12"/>
      <c r="AB53" s="12" t="str">
        <f>IF(AND(Y53=Y56,Z56&gt;Z53),X56,X53)</f>
        <v>Alemanha</v>
      </c>
      <c r="AC53" s="12">
        <f>VLOOKUP(AB53,$A$53:$I$56,2,FALSE)</f>
        <v>0</v>
      </c>
      <c r="AD53" s="12">
        <f>VLOOKUP(AB53,$A$53:$I$56,9,FALSE)</f>
        <v>0</v>
      </c>
      <c r="AE53" s="12">
        <f>VLOOKUP(AB53,$A$53:$I$56,7,FALSE)</f>
        <v>0</v>
      </c>
      <c r="AF53" s="12" t="str">
        <f>IF(AND(AC53=AC54,AD53=AD54,AE54&gt;AE53),AB54,AB53)</f>
        <v>Alemanha</v>
      </c>
      <c r="AG53" s="12">
        <f>VLOOKUP(AF53,$A$53:$I$56,2,FALSE)</f>
        <v>0</v>
      </c>
      <c r="AH53" s="12">
        <f>VLOOKUP(AF53,$A$53:$I$56,9,FALSE)</f>
        <v>0</v>
      </c>
      <c r="AI53" s="12">
        <f>VLOOKUP(AF53,$A$53:$I$56,7,FALSE)</f>
        <v>0</v>
      </c>
      <c r="AJ53" s="12" t="str">
        <f>IF(AND(AG53=AG55,AH53=AH55,AI55&gt;AI53),AF55,AF53)</f>
        <v>Alemanha</v>
      </c>
      <c r="AK53" s="12">
        <f>VLOOKUP(AJ53,$A$53:$I$56,2,FALSE)</f>
        <v>0</v>
      </c>
      <c r="AL53" s="12">
        <f>VLOOKUP(AJ53,$A$53:$I$56,9,FALSE)</f>
        <v>0</v>
      </c>
      <c r="AM53" s="12">
        <f>VLOOKUP(AJ53,$A$53:$I$56,7,FALSE)</f>
        <v>0</v>
      </c>
      <c r="AN53" s="12" t="str">
        <f>IF(AND(AK53=AK56,AL53=AL56,AM56&gt;AM53),AJ56,AJ53)</f>
        <v>Alemanha</v>
      </c>
      <c r="AO53" s="12">
        <f>VLOOKUP(AN53,$A$53:$I$56,2,FALSE)</f>
        <v>0</v>
      </c>
      <c r="AP53" s="12">
        <f>IF(Tabela!O2="www.guiadecompra.com",VLOOKUP(AN53,$A$53:$I$56,9,FALSE),0)</f>
        <v>0</v>
      </c>
      <c r="AQ53" s="12">
        <f>VLOOKUP(AN53,$A$53:$I$56,7,FALSE)</f>
        <v>0</v>
      </c>
      <c r="AR53" s="13"/>
    </row>
    <row r="54" spans="1:44" x14ac:dyDescent="0.2">
      <c r="A54" s="44" t="str">
        <f>info!I11</f>
        <v>Portugal</v>
      </c>
      <c r="B54" s="45">
        <f>IF(Copa=FIFA,SUM(D54*3)+E54,0)</f>
        <v>0</v>
      </c>
      <c r="C54" s="46">
        <f>COUNT(Tabela!J54,Tabela!H57,Tabela!H59)</f>
        <v>0</v>
      </c>
      <c r="D54" s="46">
        <f>SUM(IF(Tabela!$J$54&gt;Tabela!$H$54,COUNT(Tabela!$J$54)),IF(Tabela!$H$57&gt;Tabela!$J$57,COUNT(Tabela!$H$57)),IF(Tabela!$H$59&gt;Tabela!$J$59,COUNT(Tabela!$H$59)))</f>
        <v>0</v>
      </c>
      <c r="E54" s="46">
        <f>SUM(IF(Tabela!$J$54=Tabela!$H$54,COUNT(Tabela!$J$54)),IF(Tabela!$H$57=Tabela!$J$57,COUNT(Tabela!$H$57)),IF(Tabela!$H$59=Tabela!$J$59,COUNT(Tabela!$H$59)))</f>
        <v>0</v>
      </c>
      <c r="F54" s="46">
        <f>SUM(IF(Tabela!$J$54&lt;Tabela!$H$54,COUNT(Tabela!$J$54)),IF(Tabela!$H$57&lt;Tabela!$J$57,COUNT(Tabela!$H$57)),IF(Tabela!$H$59&lt;Tabela!$J$59,COUNT(Tabela!$H$59)))</f>
        <v>0</v>
      </c>
      <c r="G54" s="46">
        <f>SUM(Tabela!J54+Tabela!H57+Tabela!H59)</f>
        <v>0</v>
      </c>
      <c r="H54" s="46">
        <f>SUM(Tabela!H54+Tabela!J57+Tabela!J59)</f>
        <v>0</v>
      </c>
      <c r="I54" s="46">
        <f>IF(BR20I4=Tabela!D2,SUM(G54-H54),"X")</f>
        <v>0</v>
      </c>
      <c r="J54" s="14"/>
      <c r="K54" s="12" t="str">
        <f>IF(B54&lt;=B53,A54,A53)</f>
        <v>Portugal</v>
      </c>
      <c r="L54" s="12">
        <f>VLOOKUP(K54,$A$53:$I$56,2,FALSE)</f>
        <v>0</v>
      </c>
      <c r="M54" s="12"/>
      <c r="N54" s="12" t="str">
        <f>IF(L54&gt;=L56,K54,K56)</f>
        <v>Portugal</v>
      </c>
      <c r="O54" s="12">
        <f>VLOOKUP(N54,$A$53:$I$56,2,FALSE)</f>
        <v>0</v>
      </c>
      <c r="P54" s="12"/>
      <c r="Q54" s="12" t="str">
        <f>IF(O54&gt;=O55,N54,N55)</f>
        <v>Portugal</v>
      </c>
      <c r="R54" s="12">
        <f>VLOOKUP(Q54,$A$53:$I$56,2,FALSE)</f>
        <v>0</v>
      </c>
      <c r="S54" s="12">
        <f>VLOOKUP(Q54,$A$53:$I$56,9,FALSE)</f>
        <v>0</v>
      </c>
      <c r="T54" s="12"/>
      <c r="U54" s="12" t="str">
        <f>IF(AND(R53=R54,S54&gt;S53),Q53,Q54)</f>
        <v>Portugal</v>
      </c>
      <c r="V54" s="12">
        <f>VLOOKUP(U54,$A$53:$I$56,2,FALSE)</f>
        <v>0</v>
      </c>
      <c r="W54" s="12">
        <f>VLOOKUP(U54,$A$53:$I$56,9,FALSE)</f>
        <v>0</v>
      </c>
      <c r="X54" s="12" t="str">
        <f>IF(AND(V54=V56,W56&gt;W54),U56,U54)</f>
        <v>Portugal</v>
      </c>
      <c r="Y54" s="12">
        <f>VLOOKUP(X54,$A$53:$I$56,2,FALSE)</f>
        <v>0</v>
      </c>
      <c r="Z54" s="12">
        <f>VLOOKUP(X54,$A$53:$I$56,9,FALSE)</f>
        <v>0</v>
      </c>
      <c r="AA54" s="12"/>
      <c r="AB54" s="12" t="str">
        <f>IF(AND(Y54=Y55,Z55&gt;Z54),X55,X54)</f>
        <v>Portugal</v>
      </c>
      <c r="AC54" s="12">
        <f>VLOOKUP(AB54,$A$53:$I$56,2,FALSE)</f>
        <v>0</v>
      </c>
      <c r="AD54" s="12">
        <f>VLOOKUP(AB54,$A$53:$I$56,9,FALSE)</f>
        <v>0</v>
      </c>
      <c r="AE54" s="12">
        <f>VLOOKUP(AB54,$A$53:$I$56,7,FALSE)</f>
        <v>0</v>
      </c>
      <c r="AF54" s="12" t="str">
        <f>IF(AND(AC54=AC53,AD54=AD53,AE54&gt;AE53),AB53,AB54)</f>
        <v>Portugal</v>
      </c>
      <c r="AG54" s="12">
        <f>VLOOKUP(AF54,$A$53:$I$56,2,FALSE)</f>
        <v>0</v>
      </c>
      <c r="AH54" s="12">
        <f>VLOOKUP(AF54,$A$53:$I$56,9,FALSE)</f>
        <v>0</v>
      </c>
      <c r="AI54" s="12">
        <f>VLOOKUP(AF54,$A$53:$I$56,7,FALSE)</f>
        <v>0</v>
      </c>
      <c r="AJ54" s="12" t="str">
        <f>IF(AND(AG54=AG56,AH54=AH56,AI56&gt;AI54),AF56,AF54)</f>
        <v>Portugal</v>
      </c>
      <c r="AK54" s="12">
        <f>VLOOKUP(AJ54,$A$53:$I$56,2,FALSE)</f>
        <v>0</v>
      </c>
      <c r="AL54" s="12">
        <f>VLOOKUP(AJ54,$A$53:$I$56,9,FALSE)</f>
        <v>0</v>
      </c>
      <c r="AM54" s="12">
        <f>VLOOKUP(AJ54,$A$53:$I$56,7,FALSE)</f>
        <v>0</v>
      </c>
      <c r="AN54" s="12" t="str">
        <f>IF(AND(AK54=AK55,AL54=AL55,AM55&gt;AM54),AJ55,AJ54)</f>
        <v>Portugal</v>
      </c>
      <c r="AO54" s="12">
        <f>VLOOKUP(AN54,$A$53:$I$56,2,FALSE)</f>
        <v>0</v>
      </c>
      <c r="AP54" s="12">
        <f>IF(Tabela!O2="www.guiadecompra.com",VLOOKUP(AN54,$A$53:$I$56,9,FALSE),0)</f>
        <v>0</v>
      </c>
      <c r="AQ54" s="12">
        <f>VLOOKUP(AN54,$A$53:$I$56,7,FALSE)</f>
        <v>0</v>
      </c>
      <c r="AR54" s="13"/>
    </row>
    <row r="55" spans="1:44" x14ac:dyDescent="0.2">
      <c r="A55" s="44" t="str">
        <f>info!I12</f>
        <v>Gana</v>
      </c>
      <c r="B55" s="45">
        <f>IF(Copa=FIFA,SUM(D55*3)+E55,0)</f>
        <v>0</v>
      </c>
      <c r="C55" s="46">
        <f>COUNT(Tabela!H55,Tabela!J56,Tabela!J59)</f>
        <v>0</v>
      </c>
      <c r="D55" s="46">
        <f>SUM(IF(Tabela!$H$55&gt;Tabela!$J$55,COUNT(Tabela!$H$55)),IF(Tabela!$J$56&gt;Tabela!$H$56,COUNT(Tabela!$J$56)),IF(Tabela!$J$59&gt;Tabela!$H$59,COUNT(Tabela!$J$59)))</f>
        <v>0</v>
      </c>
      <c r="E55" s="46">
        <f>SUM(IF(Tabela!$H$55=Tabela!$J$55,COUNT(Tabela!$H$55)),IF(Tabela!$J$56=Tabela!$H$56,COUNT(Tabela!$J$56)),IF(Tabela!$J$59=Tabela!$H$59,COUNT(Tabela!$J$59)))</f>
        <v>0</v>
      </c>
      <c r="F55" s="46">
        <f>SUM(IF(Tabela!$H$55&lt;Tabela!$J$55,COUNT(Tabela!$H$55)),IF(Tabela!$J$56&lt;Tabela!$H$56,COUNT(Tabela!$J$56)),IF(Tabela!$J$59&lt;Tabela!$H$59,COUNT(Tabela!$J$59)))</f>
        <v>0</v>
      </c>
      <c r="G55" s="46">
        <f>SUM(Tabela!H55+Tabela!J56+Tabela!J59)</f>
        <v>0</v>
      </c>
      <c r="H55" s="46">
        <f>SUM(Tabela!J55+Tabela!H56+Tabela!H59)</f>
        <v>0</v>
      </c>
      <c r="I55" s="46">
        <f>IF(BR20I4=Tabela!D2,SUM(G55-H55),"X")</f>
        <v>0</v>
      </c>
      <c r="J55" s="14"/>
      <c r="K55" s="12" t="str">
        <f>IF(B55&gt;=B56,A55,A56)</f>
        <v>Gana</v>
      </c>
      <c r="L55" s="12">
        <f>VLOOKUP(K55,$A$53:$I$56,2,FALSE)</f>
        <v>0</v>
      </c>
      <c r="M55" s="12"/>
      <c r="N55" s="12" t="str">
        <f>IF(L55&lt;=L53,K55,K53)</f>
        <v>Gana</v>
      </c>
      <c r="O55" s="12">
        <f>VLOOKUP(N55,$A$53:$I$56,2,FALSE)</f>
        <v>0</v>
      </c>
      <c r="P55" s="12"/>
      <c r="Q55" s="12" t="str">
        <f>IF(O55&lt;=O54,N55,N54)</f>
        <v>Gana</v>
      </c>
      <c r="R55" s="12">
        <f>VLOOKUP(Q55,$A$53:$I$56,2,FALSE)</f>
        <v>0</v>
      </c>
      <c r="S55" s="12">
        <f>VLOOKUP(Q55,$A$53:$I$56,9,FALSE)</f>
        <v>0</v>
      </c>
      <c r="T55" s="12"/>
      <c r="U55" s="12" t="str">
        <f>IF(AND(R55=R56,S56&gt;S55),Q56,Q55)</f>
        <v>Gana</v>
      </c>
      <c r="V55" s="12">
        <f>VLOOKUP(U55,$A$53:$I$56,2,FALSE)</f>
        <v>0</v>
      </c>
      <c r="W55" s="12">
        <f>VLOOKUP(U55,$A$53:$I$56,9,FALSE)</f>
        <v>0</v>
      </c>
      <c r="X55" s="12" t="str">
        <f>IF(AND(V53=V55,W55&gt;W53),U53,U55)</f>
        <v>Gana</v>
      </c>
      <c r="Y55" s="12">
        <f>VLOOKUP(X55,$A$53:$I$56,2,FALSE)</f>
        <v>0</v>
      </c>
      <c r="Z55" s="12">
        <f>VLOOKUP(X55,$A$53:$I$56,9,FALSE)</f>
        <v>0</v>
      </c>
      <c r="AA55" s="12"/>
      <c r="AB55" s="12" t="str">
        <f>IF(AND(Y55=Y54,Z55&gt;Z54),X54,X55)</f>
        <v>Gana</v>
      </c>
      <c r="AC55" s="12">
        <f>VLOOKUP(AB55,$A$53:$I$56,2,FALSE)</f>
        <v>0</v>
      </c>
      <c r="AD55" s="12">
        <f>VLOOKUP(AB55,$A$53:$I$56,9,FALSE)</f>
        <v>0</v>
      </c>
      <c r="AE55" s="12">
        <f>VLOOKUP(AB55,$A$53:$I$56,7,FALSE)</f>
        <v>0</v>
      </c>
      <c r="AF55" s="12" t="str">
        <f>IF(AND(AC55=AC56,AD55=AD56,AE56&gt;AE55),AB56,AB55)</f>
        <v>Gana</v>
      </c>
      <c r="AG55" s="12">
        <f>VLOOKUP(AF55,$A$53:$I$56,2,FALSE)</f>
        <v>0</v>
      </c>
      <c r="AH55" s="12">
        <f>VLOOKUP(AF55,$A$53:$I$56,9,FALSE)</f>
        <v>0</v>
      </c>
      <c r="AI55" s="12">
        <f>VLOOKUP(AF55,$A$53:$I$56,7,FALSE)</f>
        <v>0</v>
      </c>
      <c r="AJ55" s="12" t="str">
        <f>IF(AND(AG55=AG53,AH55=AH53,AI55&gt;AI53),AF53,AF55)</f>
        <v>Gana</v>
      </c>
      <c r="AK55" s="12">
        <f>VLOOKUP(AJ55,$A$53:$I$56,2,FALSE)</f>
        <v>0</v>
      </c>
      <c r="AL55" s="12">
        <f>VLOOKUP(AJ55,$A$53:$I$56,9,FALSE)</f>
        <v>0</v>
      </c>
      <c r="AM55" s="12">
        <f>VLOOKUP(AJ55,$A$53:$I$56,7,FALSE)</f>
        <v>0</v>
      </c>
      <c r="AN55" s="12" t="str">
        <f>IF(AND(AK55=AK54,AL55=AL54,AM55&gt;AM54),AJ54,AJ55)</f>
        <v>Gana</v>
      </c>
      <c r="AO55" s="12">
        <f>VLOOKUP(AN55,$A$53:$I$56,2,FALSE)</f>
        <v>0</v>
      </c>
      <c r="AP55" s="12">
        <f>IF(Tabela!O2="www.guiadecompra.com",VLOOKUP(AN55,$A$53:$I$56,9,FALSE),0)</f>
        <v>0</v>
      </c>
      <c r="AQ55" s="12">
        <f>VLOOKUP(AN55,$A$53:$I$56,7,FALSE)</f>
        <v>0</v>
      </c>
      <c r="AR55" s="13"/>
    </row>
    <row r="56" spans="1:44" x14ac:dyDescent="0.2">
      <c r="A56" s="44" t="str">
        <f>info!I13</f>
        <v>Estados Unidos</v>
      </c>
      <c r="B56" s="45">
        <f>IF(Copa=FIFA,SUM(D56*3)+E56,0)</f>
        <v>0</v>
      </c>
      <c r="C56" s="46">
        <f>COUNT(Tabela!J55,Tabela!J57,Tabela!J58)</f>
        <v>0</v>
      </c>
      <c r="D56" s="46">
        <f>SUM(IF(Tabela!$J$55&gt;Tabela!$H$55,COUNT(Tabela!$J$55)),IF(Tabela!$J$57&gt;Tabela!$H$57,COUNT(Tabela!$J$57)),IF(Tabela!$J$58&gt;Tabela!$H$58,COUNT(Tabela!$J$58)))</f>
        <v>0</v>
      </c>
      <c r="E56" s="46">
        <f>SUM(IF(Tabela!$J$55=Tabela!$H$55,COUNT(Tabela!$J$55)),IF(Tabela!$J$57=Tabela!$H$57,COUNT(Tabela!$J$57)),IF(Tabela!$J$58=Tabela!$H$58,COUNT(Tabela!$J$58)))</f>
        <v>0</v>
      </c>
      <c r="F56" s="46">
        <f>SUM(IF(Tabela!$J$55&lt;Tabela!$H$55,COUNT(Tabela!$J$55)),IF(Tabela!$J$57&lt;Tabela!$H$57,COUNT(Tabela!$J$57)),IF(Tabela!$J$58&lt;Tabela!$H$58,COUNT(Tabela!$J$58)))</f>
        <v>0</v>
      </c>
      <c r="G56" s="46">
        <f>SUM(Tabela!J55+Tabela!J57+Tabela!J58)</f>
        <v>0</v>
      </c>
      <c r="H56" s="46">
        <f>SUM(Tabela!H55+Tabela!H57+Tabela!H58)</f>
        <v>0</v>
      </c>
      <c r="I56" s="46">
        <f>IF(BR20I4=Tabela!D2,SUM(G56-H56),"X")</f>
        <v>0</v>
      </c>
      <c r="J56" s="14"/>
      <c r="K56" s="12" t="str">
        <f>IF(B56&lt;=B55,A56,A55)</f>
        <v>Estados Unidos</v>
      </c>
      <c r="L56" s="12">
        <f>VLOOKUP(K56,$A$53:$I$56,2,FALSE)</f>
        <v>0</v>
      </c>
      <c r="M56" s="12"/>
      <c r="N56" s="12" t="str">
        <f>IF(L56&lt;=L54,K56,K54)</f>
        <v>Estados Unidos</v>
      </c>
      <c r="O56" s="12">
        <f>VLOOKUP(N56,$A$53:$I$56,2,FALSE)</f>
        <v>0</v>
      </c>
      <c r="P56" s="12"/>
      <c r="Q56" s="12" t="str">
        <f>IF(O56&lt;=O53,N56,N53)</f>
        <v>Estados Unidos</v>
      </c>
      <c r="R56" s="12">
        <f>VLOOKUP(Q56,$A$53:$I$56,2,FALSE)</f>
        <v>0</v>
      </c>
      <c r="S56" s="12">
        <f>VLOOKUP(Q56,$A$53:$I$56,9,FALSE)</f>
        <v>0</v>
      </c>
      <c r="T56" s="12"/>
      <c r="U56" s="12" t="str">
        <f>IF(AND(R55=R56,S56&gt;S55),Q55,Q56)</f>
        <v>Estados Unidos</v>
      </c>
      <c r="V56" s="12">
        <f>VLOOKUP(U56,$A$53:$I$56,2,FALSE)</f>
        <v>0</v>
      </c>
      <c r="W56" s="12">
        <f>VLOOKUP(U56,$A$53:$I$56,9,FALSE)</f>
        <v>0</v>
      </c>
      <c r="X56" s="12" t="str">
        <f>IF(AND(V54=V56,W56&gt;W54),U54,U56)</f>
        <v>Estados Unidos</v>
      </c>
      <c r="Y56" s="12">
        <f>VLOOKUP(X56,$A$53:$I$56,2,FALSE)</f>
        <v>0</v>
      </c>
      <c r="Z56" s="12">
        <f>VLOOKUP(X56,$A$53:$I$56,9,FALSE)</f>
        <v>0</v>
      </c>
      <c r="AA56" s="12"/>
      <c r="AB56" s="12" t="str">
        <f>IF(AND(Y56=Y53,Z56&gt;Z53),X53,X56)</f>
        <v>Estados Unidos</v>
      </c>
      <c r="AC56" s="12">
        <f>VLOOKUP(AB56,$A$53:$I$56,2,FALSE)</f>
        <v>0</v>
      </c>
      <c r="AD56" s="12">
        <f>VLOOKUP(AB56,$A$53:$I$56,9,FALSE)</f>
        <v>0</v>
      </c>
      <c r="AE56" s="12">
        <f>VLOOKUP(AB56,$A$53:$I$56,7,FALSE)</f>
        <v>0</v>
      </c>
      <c r="AF56" s="12" t="str">
        <f>IF(AND(AC56=AC55,AD56=AD55,AE56&gt;AE55),X55,X56)</f>
        <v>Estados Unidos</v>
      </c>
      <c r="AG56" s="12">
        <f>VLOOKUP(AF56,$A$53:$I$56,2,FALSE)</f>
        <v>0</v>
      </c>
      <c r="AH56" s="12">
        <f>VLOOKUP(AF56,$A$53:$I$56,9,FALSE)</f>
        <v>0</v>
      </c>
      <c r="AI56" s="12">
        <f>VLOOKUP(AF56,$A$53:$I$56,7,FALSE)</f>
        <v>0</v>
      </c>
      <c r="AJ56" s="12" t="str">
        <f>IF(AND(AG54=AG56,AH54=AH56,AI56&gt;AI54),AF54,AF56)</f>
        <v>Estados Unidos</v>
      </c>
      <c r="AK56" s="12">
        <f>VLOOKUP(AJ56,$A$53:$I$56,2,FALSE)</f>
        <v>0</v>
      </c>
      <c r="AL56" s="12">
        <f>VLOOKUP(AJ56,$A$53:$I$56,9,FALSE)</f>
        <v>0</v>
      </c>
      <c r="AM56" s="12">
        <f>VLOOKUP(AJ56,$A$53:$I$56,7,FALSE)</f>
        <v>0</v>
      </c>
      <c r="AN56" s="12" t="str">
        <f>IF(AND(AK56=AK53,AL56=AL53,AM56&gt;AM53),AJ53,AJ56)</f>
        <v>Estados Unidos</v>
      </c>
      <c r="AO56" s="12">
        <f>VLOOKUP(AN56,$A$53:$I$56,2,FALSE)</f>
        <v>0</v>
      </c>
      <c r="AP56" s="12">
        <f>IF(Tabela!O2="www.guiadecompra.com",VLOOKUP(AN56,$A$53:$I$56,9,FALSE),0)</f>
        <v>0</v>
      </c>
      <c r="AQ56" s="12">
        <f>VLOOKUP(AN56,$A$53:$I$56,7,FALSE)</f>
        <v>0</v>
      </c>
      <c r="AR56" s="13"/>
    </row>
    <row r="57" spans="1:44" x14ac:dyDescent="0.2">
      <c r="A57" s="5"/>
      <c r="B57" s="8"/>
      <c r="C57" s="8"/>
      <c r="D57" s="8"/>
      <c r="E57" s="8"/>
      <c r="F57" s="8"/>
      <c r="G57" s="8"/>
      <c r="H57" s="8"/>
      <c r="I57" s="8"/>
      <c r="J57" s="8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3"/>
    </row>
    <row r="58" spans="1:44" x14ac:dyDescent="0.2">
      <c r="A58" s="5"/>
      <c r="B58" s="8"/>
      <c r="C58" s="8"/>
      <c r="D58" s="8"/>
      <c r="E58" s="8"/>
      <c r="F58" s="8"/>
      <c r="G58" s="8"/>
      <c r="H58" s="8"/>
      <c r="I58" s="8"/>
      <c r="J58" s="8"/>
      <c r="K58" s="167" t="s">
        <v>0</v>
      </c>
      <c r="L58" s="12"/>
      <c r="M58" s="12"/>
      <c r="N58" s="167" t="s">
        <v>175</v>
      </c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3"/>
    </row>
    <row r="59" spans="1:44" x14ac:dyDescent="0.2">
      <c r="A59" s="5"/>
      <c r="B59" s="342" t="s">
        <v>60</v>
      </c>
      <c r="C59" s="342"/>
      <c r="D59" s="342"/>
      <c r="E59" s="342"/>
      <c r="F59" s="342"/>
      <c r="G59" s="342"/>
      <c r="H59" s="342"/>
      <c r="I59" s="342"/>
      <c r="J59" s="8"/>
      <c r="K59" s="12" t="s">
        <v>49</v>
      </c>
      <c r="L59" s="12"/>
      <c r="M59" s="12"/>
      <c r="N59" s="12" t="s">
        <v>50</v>
      </c>
      <c r="O59" s="12"/>
      <c r="P59" s="12"/>
      <c r="Q59" s="12" t="s">
        <v>51</v>
      </c>
      <c r="R59" s="12"/>
      <c r="S59" s="12"/>
      <c r="T59" s="12"/>
      <c r="U59" s="12" t="s">
        <v>51</v>
      </c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3"/>
    </row>
    <row r="60" spans="1:44" x14ac:dyDescent="0.2">
      <c r="A60" s="41" t="s">
        <v>52</v>
      </c>
      <c r="B60" s="42" t="s">
        <v>6</v>
      </c>
      <c r="C60" s="43" t="s">
        <v>7</v>
      </c>
      <c r="D60" s="43" t="s">
        <v>8</v>
      </c>
      <c r="E60" s="43" t="s">
        <v>9</v>
      </c>
      <c r="F60" s="43" t="s">
        <v>10</v>
      </c>
      <c r="G60" s="43" t="s">
        <v>11</v>
      </c>
      <c r="H60" s="43" t="s">
        <v>12</v>
      </c>
      <c r="I60" s="43" t="s">
        <v>13</v>
      </c>
      <c r="J60" s="15"/>
      <c r="K60" s="12"/>
      <c r="L60" s="12" t="s">
        <v>6</v>
      </c>
      <c r="M60" s="12"/>
      <c r="N60" s="12"/>
      <c r="O60" s="12" t="s">
        <v>53</v>
      </c>
      <c r="P60" s="12"/>
      <c r="Q60" s="12"/>
      <c r="R60" s="12" t="s">
        <v>6</v>
      </c>
      <c r="S60" s="12" t="s">
        <v>13</v>
      </c>
      <c r="T60" s="12"/>
      <c r="U60" s="12"/>
      <c r="V60" s="12" t="s">
        <v>6</v>
      </c>
      <c r="W60" s="12" t="s">
        <v>13</v>
      </c>
      <c r="X60" s="12"/>
      <c r="Y60" s="12" t="s">
        <v>6</v>
      </c>
      <c r="Z60" s="12" t="s">
        <v>13</v>
      </c>
      <c r="AA60" s="12"/>
      <c r="AB60" s="12"/>
      <c r="AC60" s="12" t="s">
        <v>6</v>
      </c>
      <c r="AD60" s="12" t="s">
        <v>13</v>
      </c>
      <c r="AE60" s="12" t="s">
        <v>11</v>
      </c>
      <c r="AF60" s="12"/>
      <c r="AG60" s="12" t="s">
        <v>6</v>
      </c>
      <c r="AH60" s="12" t="s">
        <v>13</v>
      </c>
      <c r="AI60" s="12" t="s">
        <v>11</v>
      </c>
      <c r="AJ60" s="12"/>
      <c r="AK60" s="12" t="s">
        <v>6</v>
      </c>
      <c r="AL60" s="12" t="s">
        <v>13</v>
      </c>
      <c r="AM60" s="12" t="s">
        <v>11</v>
      </c>
      <c r="AN60" s="12"/>
      <c r="AO60" s="12" t="s">
        <v>6</v>
      </c>
      <c r="AP60" s="12" t="s">
        <v>13</v>
      </c>
      <c r="AQ60" s="12" t="s">
        <v>11</v>
      </c>
      <c r="AR60" s="13"/>
    </row>
    <row r="61" spans="1:44" x14ac:dyDescent="0.2">
      <c r="A61" s="44" t="str">
        <f>info!L10</f>
        <v>Bélgica</v>
      </c>
      <c r="B61" s="45">
        <f>IF(Copa=FIFA,SUM(D61*3)+E61,0)</f>
        <v>0</v>
      </c>
      <c r="C61" s="46">
        <f>COUNT(Tabela!H62,Tabela!H64,Tabela!H66)</f>
        <v>0</v>
      </c>
      <c r="D61" s="46">
        <f>SUM(IF(Tabela!$H$62&gt;Tabela!$J$62,COUNT(Tabela!$H$62)),IF(Tabela!$H$64&gt;Tabela!$J$64,COUNT(Tabela!$H$64)),IF(Tabela!$H$66&gt;Tabela!$J$66,COUNT(Tabela!$H$66)))</f>
        <v>0</v>
      </c>
      <c r="E61" s="46">
        <f>SUM(IF(Tabela!$H$62=Tabela!$J$62,COUNT(Tabela!$H$62)),IF(Tabela!$H$64=Tabela!$J$64,COUNT(Tabela!$H$64)),IF(Tabela!$H$66=Tabela!$J$66,COUNT(Tabela!$H$66)))</f>
        <v>0</v>
      </c>
      <c r="F61" s="46">
        <f>SUM(IF(Tabela!$H$62&lt;Tabela!$J$62,COUNT(Tabela!$H$62)),IF(Tabela!$H$64&lt;Tabela!$J$64,COUNT(Tabela!$H$64)),IF(Tabela!$H$66&lt;Tabela!$J$66,COUNT(Tabela!$H$66)))</f>
        <v>0</v>
      </c>
      <c r="G61" s="46">
        <f>SUM(Tabela!H62+Tabela!H64+Tabela!H66)</f>
        <v>0</v>
      </c>
      <c r="H61" s="46">
        <f>SUM(Tabela!J62+Tabela!J64+Tabela!J66)</f>
        <v>0</v>
      </c>
      <c r="I61" s="46">
        <f>IF(BR20I4=Tabela!D2,SUM(G61-H61),"X")</f>
        <v>0</v>
      </c>
      <c r="J61" s="14"/>
      <c r="K61" s="12" t="str">
        <f>IF(B61&gt;=B62,A61,A62)</f>
        <v>Bélgica</v>
      </c>
      <c r="L61" s="12">
        <f>VLOOKUP(K61,$A$61:$I$64,2,FALSE)</f>
        <v>0</v>
      </c>
      <c r="M61" s="12"/>
      <c r="N61" s="12" t="str">
        <f>IF(L61&gt;=L63,K61,K63)</f>
        <v>Bélgica</v>
      </c>
      <c r="O61" s="12">
        <f>VLOOKUP(N61,$A$61:$I$64,2,FALSE)</f>
        <v>0</v>
      </c>
      <c r="P61" s="12"/>
      <c r="Q61" s="12" t="str">
        <f>IF(O61&gt;=O64,N61,N64)</f>
        <v>Bélgica</v>
      </c>
      <c r="R61" s="12">
        <f>VLOOKUP(Q61,$A$61:$I$64,2,FALSE)</f>
        <v>0</v>
      </c>
      <c r="S61" s="12">
        <f>VLOOKUP(Q61,$A$61:$I$64,9,FALSE)</f>
        <v>0</v>
      </c>
      <c r="T61" s="12"/>
      <c r="U61" s="12" t="str">
        <f>IF(AND(R61=R62,S62&gt;S61),Q62,Q61)</f>
        <v>Bélgica</v>
      </c>
      <c r="V61" s="12">
        <f>VLOOKUP(U61,$A$61:$I$64,2,FALSE)</f>
        <v>0</v>
      </c>
      <c r="W61" s="12">
        <f>VLOOKUP(U61,$A$61:$I$64,9,FALSE)</f>
        <v>0</v>
      </c>
      <c r="X61" s="12" t="str">
        <f>IF(AND(V61=V63,W63&gt;W61),U63,U61)</f>
        <v>Bélgica</v>
      </c>
      <c r="Y61" s="12">
        <f>VLOOKUP(X61,$A$61:$I$64,2,FALSE)</f>
        <v>0</v>
      </c>
      <c r="Z61" s="12">
        <f>VLOOKUP(X61,$A$61:$I$64,9,FALSE)</f>
        <v>0</v>
      </c>
      <c r="AA61" s="12"/>
      <c r="AB61" s="12" t="str">
        <f>IF(AND(Y61=Y64,Z64&gt;Z61),X64,X61)</f>
        <v>Bélgica</v>
      </c>
      <c r="AC61" s="12">
        <f>VLOOKUP(AB61,$A$61:$I$64,2,FALSE)</f>
        <v>0</v>
      </c>
      <c r="AD61" s="12">
        <f>VLOOKUP(AB61,$A$61:$I$64,9,FALSE)</f>
        <v>0</v>
      </c>
      <c r="AE61" s="12">
        <f>VLOOKUP(AB61,$A$61:$I$64,7,FALSE)</f>
        <v>0</v>
      </c>
      <c r="AF61" s="12" t="str">
        <f>IF(AND(AC61=AC62,AD61=AD62,AE62&gt;AE61),AB62,AB61)</f>
        <v>Bélgica</v>
      </c>
      <c r="AG61" s="12">
        <f>VLOOKUP(AF61,$A$61:$I$64,2,FALSE)</f>
        <v>0</v>
      </c>
      <c r="AH61" s="12">
        <f>VLOOKUP(AF61,$A$61:$I$64,9,FALSE)</f>
        <v>0</v>
      </c>
      <c r="AI61" s="12">
        <f>VLOOKUP(AF61,$A$61:$I$64,7,FALSE)</f>
        <v>0</v>
      </c>
      <c r="AJ61" s="12" t="str">
        <f>IF(AND(AG61=AG63,AH61=AH63,AI63&gt;AI61),AF63,AF61)</f>
        <v>Bélgica</v>
      </c>
      <c r="AK61" s="12">
        <f>VLOOKUP(AJ61,$A$61:$I$64,2,FALSE)</f>
        <v>0</v>
      </c>
      <c r="AL61" s="12">
        <f>VLOOKUP(AJ61,$A$61:$I$64,9,FALSE)</f>
        <v>0</v>
      </c>
      <c r="AM61" s="12">
        <f>VLOOKUP(AJ61,$A$61:$I$64,7,FALSE)</f>
        <v>0</v>
      </c>
      <c r="AN61" s="12" t="str">
        <f>IF(AND(AK61=AK64,AL61=AL64,AM64&gt;AM61),AJ64,AJ61)</f>
        <v>Bélgica</v>
      </c>
      <c r="AO61" s="12">
        <f>VLOOKUP(AN61,$A$61:$I$64,2,FALSE)</f>
        <v>0</v>
      </c>
      <c r="AP61" s="12">
        <f>IF(Tabela!O2="www.guiadecompra.com",VLOOKUP(AN61,$A$61:$I$64,9,FALSE),0)</f>
        <v>0</v>
      </c>
      <c r="AQ61" s="12">
        <f>VLOOKUP(AN61,$A$61:$I$64,7,FALSE)</f>
        <v>0</v>
      </c>
      <c r="AR61" s="13"/>
    </row>
    <row r="62" spans="1:44" x14ac:dyDescent="0.2">
      <c r="A62" s="44" t="str">
        <f>info!L11</f>
        <v>Argélia</v>
      </c>
      <c r="B62" s="45">
        <f>IF(Copa=FIFA,SUM(D62*3)+E62,0)</f>
        <v>0</v>
      </c>
      <c r="C62" s="46">
        <f>COUNT(Tabela!J62,Tabela!H65,Tabela!H67)</f>
        <v>0</v>
      </c>
      <c r="D62" s="46">
        <f>SUM(IF(Tabela!$J$62&gt;Tabela!$H$62,COUNT(Tabela!$J$62)),IF(Tabela!$H$65&gt;Tabela!$J$65,COUNT(Tabela!$H$65)),IF(Tabela!$H$67&gt;Tabela!$J$67,COUNT(Tabela!$H$67)))</f>
        <v>0</v>
      </c>
      <c r="E62" s="46">
        <f>SUM(IF(Tabela!$J$62=Tabela!$H$62,COUNT(Tabela!$J$62)),IF(Tabela!$H$65=Tabela!$J$65,COUNT(Tabela!$H$65)),IF(Tabela!$H$67=Tabela!$J$67,COUNT(Tabela!$H$67)))</f>
        <v>0</v>
      </c>
      <c r="F62" s="46">
        <f>SUM(IF(Tabela!$J$62&lt;Tabela!$H$62,COUNT(Tabela!$J$62)),IF(Tabela!$H$65&lt;Tabela!$J$65,COUNT(Tabela!$H$65)),IF(Tabela!$H$67&lt;Tabela!$J$67,COUNT(Tabela!$H$67)))</f>
        <v>0</v>
      </c>
      <c r="G62" s="46">
        <f>SUM(Tabela!J62+Tabela!H65+Tabela!H67)</f>
        <v>0</v>
      </c>
      <c r="H62" s="46">
        <f>SUM(Tabela!H62+Tabela!J65+Tabela!J67)</f>
        <v>0</v>
      </c>
      <c r="I62" s="46">
        <f>IF(BR20I4=Tabela!D2,SUM(G62-H62),"X")</f>
        <v>0</v>
      </c>
      <c r="J62" s="14"/>
      <c r="K62" s="12" t="str">
        <f>IF(B62&lt;=B61,A62,A61)</f>
        <v>Argélia</v>
      </c>
      <c r="L62" s="12">
        <f>VLOOKUP(K62,$A$61:$I$64,2,FALSE)</f>
        <v>0</v>
      </c>
      <c r="M62" s="12"/>
      <c r="N62" s="12" t="str">
        <f>IF(L62&gt;=L64,K62,K64)</f>
        <v>Argélia</v>
      </c>
      <c r="O62" s="12">
        <f>VLOOKUP(N62,$A$61:$I$64,2,FALSE)</f>
        <v>0</v>
      </c>
      <c r="P62" s="12"/>
      <c r="Q62" s="12" t="str">
        <f>IF(O62&gt;=O63,N62,N63)</f>
        <v>Argélia</v>
      </c>
      <c r="R62" s="12">
        <f>VLOOKUP(Q62,$A$61:$I$64,2,FALSE)</f>
        <v>0</v>
      </c>
      <c r="S62" s="12">
        <f>VLOOKUP(Q62,$A$61:$I$64,9,FALSE)</f>
        <v>0</v>
      </c>
      <c r="T62" s="12"/>
      <c r="U62" s="12" t="str">
        <f>IF(AND(R61=R62,S62&gt;S61),Q61,Q62)</f>
        <v>Argélia</v>
      </c>
      <c r="V62" s="12">
        <f>VLOOKUP(U62,$A$61:$I$64,2,FALSE)</f>
        <v>0</v>
      </c>
      <c r="W62" s="12">
        <f>VLOOKUP(U62,$A$61:$I$64,9,FALSE)</f>
        <v>0</v>
      </c>
      <c r="X62" s="12" t="str">
        <f>IF(AND(V62=V64,W64&gt;W62),U64,U62)</f>
        <v>Argélia</v>
      </c>
      <c r="Y62" s="12">
        <f>VLOOKUP(X62,$A$61:$I$64,2,FALSE)</f>
        <v>0</v>
      </c>
      <c r="Z62" s="12">
        <f>VLOOKUP(X62,$A$61:$I$64,9,FALSE)</f>
        <v>0</v>
      </c>
      <c r="AA62" s="12"/>
      <c r="AB62" s="12" t="str">
        <f>IF(AND(Y62=Y63,Z63&gt;Z62),X63,X62)</f>
        <v>Argélia</v>
      </c>
      <c r="AC62" s="12">
        <f>VLOOKUP(AB62,$A$61:$I$64,2,FALSE)</f>
        <v>0</v>
      </c>
      <c r="AD62" s="12">
        <f>VLOOKUP(AB62,$A$61:$I$64,9,FALSE)</f>
        <v>0</v>
      </c>
      <c r="AE62" s="12">
        <f>VLOOKUP(AB62,$A$61:$I$64,7,FALSE)</f>
        <v>0</v>
      </c>
      <c r="AF62" s="12" t="str">
        <f>IF(AND(AC62=AC61,AD62=AD61,AE62&gt;AE61),AB61,AB62)</f>
        <v>Argélia</v>
      </c>
      <c r="AG62" s="12">
        <f>VLOOKUP(AF62,$A$61:$I$64,2,FALSE)</f>
        <v>0</v>
      </c>
      <c r="AH62" s="12">
        <f>VLOOKUP(AF62,$A$61:$I$64,9,FALSE)</f>
        <v>0</v>
      </c>
      <c r="AI62" s="12">
        <f>VLOOKUP(AF62,$A$61:$I$64,7,FALSE)</f>
        <v>0</v>
      </c>
      <c r="AJ62" s="12" t="str">
        <f>IF(AND(AG62=AG64,AH62=AH64,AI64&gt;AI62),AF64,AF62)</f>
        <v>Argélia</v>
      </c>
      <c r="AK62" s="12">
        <f>VLOOKUP(AJ62,$A$61:$I$64,2,FALSE)</f>
        <v>0</v>
      </c>
      <c r="AL62" s="12">
        <f>VLOOKUP(AJ62,$A$61:$I$64,9,FALSE)</f>
        <v>0</v>
      </c>
      <c r="AM62" s="12">
        <f>VLOOKUP(AJ62,$A$61:$I$64,7,FALSE)</f>
        <v>0</v>
      </c>
      <c r="AN62" s="12" t="str">
        <f>IF(AND(AK62=AK63,AL62=AL63,AM63&gt;AM62),AJ63,AJ62)</f>
        <v>Argélia</v>
      </c>
      <c r="AO62" s="12">
        <f>VLOOKUP(AN62,$A$61:$I$64,2,FALSE)</f>
        <v>0</v>
      </c>
      <c r="AP62" s="12">
        <f>IF(Tabela!O2="www.guiadecompra.com",VLOOKUP(AN62,$A$61:$I$64,9,FALSE),0)</f>
        <v>0</v>
      </c>
      <c r="AQ62" s="12">
        <f>VLOOKUP(AN62,$A$61:$I$64,7,FALSE)</f>
        <v>0</v>
      </c>
      <c r="AR62" s="13"/>
    </row>
    <row r="63" spans="1:44" x14ac:dyDescent="0.2">
      <c r="A63" s="44" t="str">
        <f>info!L12</f>
        <v>Rússia</v>
      </c>
      <c r="B63" s="45">
        <f>IF(Copa=FIFA,SUM(D63*3)+E63,0)</f>
        <v>0</v>
      </c>
      <c r="C63" s="46">
        <f>COUNT(Tabela!H63,Tabela!J64,Tabela!J67)</f>
        <v>0</v>
      </c>
      <c r="D63" s="46">
        <f>SUM(IF(Tabela!$H$63&gt;Tabela!$J$63,COUNT(Tabela!$H$63)),IF(Tabela!$J$64&gt;Tabela!$H$64,COUNT(Tabela!$J$64)),IF(Tabela!$J$67&gt;Tabela!$H$67,COUNT(Tabela!$J$67)))</f>
        <v>0</v>
      </c>
      <c r="E63" s="46">
        <f>SUM(IF(Tabela!$H$63=Tabela!$J$63,COUNT(Tabela!$H$63)),IF(Tabela!$J$64=Tabela!$H$64,COUNT(Tabela!$J$64)),IF(Tabela!$J$67=Tabela!$H$67,COUNT(Tabela!$J$67)))</f>
        <v>0</v>
      </c>
      <c r="F63" s="46">
        <f>SUM(IF(Tabela!$H$63&lt;Tabela!$J$63,COUNT(Tabela!$H$63)),IF(Tabela!$J$64&lt;Tabela!$H$64,COUNT(Tabela!$J$64)),IF(Tabela!$J$67&lt;Tabela!$H$67,COUNT(Tabela!$J$67)))</f>
        <v>0</v>
      </c>
      <c r="G63" s="46">
        <f>SUM(Tabela!H63+Tabela!J64+Tabela!J67)</f>
        <v>0</v>
      </c>
      <c r="H63" s="46">
        <f>SUM(Tabela!J63+Tabela!H64+Tabela!H67)</f>
        <v>0</v>
      </c>
      <c r="I63" s="46">
        <f>IF(BR20I4=Tabela!D2,SUM(G63-H63),"X")</f>
        <v>0</v>
      </c>
      <c r="J63" s="14"/>
      <c r="K63" s="12" t="str">
        <f>IF(B63&gt;=B64,A63,A64)</f>
        <v>Rússia</v>
      </c>
      <c r="L63" s="12">
        <f>VLOOKUP(K63,$A$61:$I$64,2,FALSE)</f>
        <v>0</v>
      </c>
      <c r="M63" s="12"/>
      <c r="N63" s="12" t="str">
        <f>IF(L63&lt;=L61,K63,K61)</f>
        <v>Rússia</v>
      </c>
      <c r="O63" s="12">
        <f>VLOOKUP(N63,$A$61:$I$64,2,FALSE)</f>
        <v>0</v>
      </c>
      <c r="P63" s="12"/>
      <c r="Q63" s="12" t="str">
        <f>IF(O63&lt;=O62,N63,N62)</f>
        <v>Rússia</v>
      </c>
      <c r="R63" s="12">
        <f>VLOOKUP(Q63,$A$61:$I$64,2,FALSE)</f>
        <v>0</v>
      </c>
      <c r="S63" s="12">
        <f>VLOOKUP(Q63,$A$61:$I$64,9,FALSE)</f>
        <v>0</v>
      </c>
      <c r="T63" s="12"/>
      <c r="U63" s="12" t="str">
        <f>IF(AND(R63=R64,S64&gt;S63),Q64,Q63)</f>
        <v>Rússia</v>
      </c>
      <c r="V63" s="12">
        <f>VLOOKUP(U63,$A$61:$I$64,2,FALSE)</f>
        <v>0</v>
      </c>
      <c r="W63" s="12">
        <f>VLOOKUP(U63,$A$61:$I$64,9,FALSE)</f>
        <v>0</v>
      </c>
      <c r="X63" s="12" t="str">
        <f>IF(AND(V61=V63,W63&gt;W61),U61,U63)</f>
        <v>Rússia</v>
      </c>
      <c r="Y63" s="12">
        <f>VLOOKUP(X63,$A$61:$I$64,2,FALSE)</f>
        <v>0</v>
      </c>
      <c r="Z63" s="12">
        <f>VLOOKUP(X63,$A$61:$I$64,9,FALSE)</f>
        <v>0</v>
      </c>
      <c r="AA63" s="12"/>
      <c r="AB63" s="12" t="str">
        <f>IF(AND(Y63=Y62,Z63&gt;Z62),X62,X63)</f>
        <v>Rússia</v>
      </c>
      <c r="AC63" s="12">
        <f>VLOOKUP(AB63,$A$61:$I$64,2,FALSE)</f>
        <v>0</v>
      </c>
      <c r="AD63" s="12">
        <f>VLOOKUP(AB63,$A$61:$I$64,9,FALSE)</f>
        <v>0</v>
      </c>
      <c r="AE63" s="12">
        <f>VLOOKUP(AB63,$A$61:$I$64,7,FALSE)</f>
        <v>0</v>
      </c>
      <c r="AF63" s="12" t="str">
        <f>IF(AND(AC63=AC64,AD63=AD64,AE64&gt;AE63),AB64,AB63)</f>
        <v>Rússia</v>
      </c>
      <c r="AG63" s="12">
        <f>VLOOKUP(AF63,$A$61:$I$64,2,FALSE)</f>
        <v>0</v>
      </c>
      <c r="AH63" s="12">
        <f>VLOOKUP(AF63,$A$61:$I$64,9,FALSE)</f>
        <v>0</v>
      </c>
      <c r="AI63" s="12">
        <f>VLOOKUP(AF63,$A$61:$I$64,7,FALSE)</f>
        <v>0</v>
      </c>
      <c r="AJ63" s="12" t="str">
        <f>IF(AND(AG63=AG61,AH63=AH61,AI63&gt;AI61),AF61,AF63)</f>
        <v>Rússia</v>
      </c>
      <c r="AK63" s="12">
        <f>VLOOKUP(AJ63,$A$61:$I$64,2,FALSE)</f>
        <v>0</v>
      </c>
      <c r="AL63" s="12">
        <f>VLOOKUP(AJ63,$A$61:$I$64,9,FALSE)</f>
        <v>0</v>
      </c>
      <c r="AM63" s="12">
        <f>VLOOKUP(AJ63,$A$61:$I$64,7,FALSE)</f>
        <v>0</v>
      </c>
      <c r="AN63" s="12" t="str">
        <f>IF(AND(AK63=AK62,AL63=AL62,AM63&gt;AM62),AJ62,AJ63)</f>
        <v>Rússia</v>
      </c>
      <c r="AO63" s="12">
        <f>VLOOKUP(AN63,$A$61:$I$64,2,FALSE)</f>
        <v>0</v>
      </c>
      <c r="AP63" s="12">
        <f>IF(Tabela!O2="www.guiadecompra.com",VLOOKUP(AN63,$A$61:$I$64,9,FALSE),0)</f>
        <v>0</v>
      </c>
      <c r="AQ63" s="12">
        <f>VLOOKUP(AN63,$A$61:$I$64,7,FALSE)</f>
        <v>0</v>
      </c>
      <c r="AR63" s="13"/>
    </row>
    <row r="64" spans="1:44" x14ac:dyDescent="0.2">
      <c r="A64" s="44" t="str">
        <f>info!L13</f>
        <v>Coreia do Sul</v>
      </c>
      <c r="B64" s="45">
        <f>IF(Copa=FIFA,SUM(D64*3)+E64,0)</f>
        <v>0</v>
      </c>
      <c r="C64" s="46">
        <f>COUNT(Tabela!J63,Tabela!J65,Tabela!J66)</f>
        <v>0</v>
      </c>
      <c r="D64" s="46">
        <f>SUM(IF(Tabela!$J$63&gt;Tabela!$H$63,COUNT(Tabela!$J$63)),IF(Tabela!$J$65&gt;Tabela!$H$65,COUNT(Tabela!$J$65)),IF(Tabela!$J$66&gt;Tabela!$H$66,COUNT(Tabela!$J$66)))</f>
        <v>0</v>
      </c>
      <c r="E64" s="46">
        <f>SUM(IF(Tabela!$J$63=Tabela!$H$63,COUNT(Tabela!$J$63)),IF(Tabela!$J$65=Tabela!$H$65,COUNT(Tabela!$J$65)),IF(Tabela!$J$66=Tabela!$H$66,COUNT(Tabela!$J$66)))</f>
        <v>0</v>
      </c>
      <c r="F64" s="46">
        <f>SUM(IF(Tabela!$J$63&lt;Tabela!$H$63,COUNT(Tabela!$J$63)),IF(Tabela!$J$65&lt;Tabela!$H$65,COUNT(Tabela!$J$65)),IF(Tabela!$J$66&lt;Tabela!$H$66,COUNT(Tabela!$J$66)))</f>
        <v>0</v>
      </c>
      <c r="G64" s="46">
        <f>SUM(Tabela!J63+Tabela!J65+Tabela!J66)</f>
        <v>0</v>
      </c>
      <c r="H64" s="46">
        <f>SUM(Tabela!H63+Tabela!H65+Tabela!H66)</f>
        <v>0</v>
      </c>
      <c r="I64" s="46">
        <f>IF(BR20I4=Tabela!D2,SUM(G64-H64),"X")</f>
        <v>0</v>
      </c>
      <c r="J64" s="14"/>
      <c r="K64" s="12" t="str">
        <f>IF(B64&lt;=B63,A64,A63)</f>
        <v>Coreia do Sul</v>
      </c>
      <c r="L64" s="12">
        <f>VLOOKUP(K64,$A$61:$I$64,2,FALSE)</f>
        <v>0</v>
      </c>
      <c r="M64" s="12"/>
      <c r="N64" s="12" t="str">
        <f>IF(L64&lt;=L62,K64,K62)</f>
        <v>Coreia do Sul</v>
      </c>
      <c r="O64" s="12">
        <f>VLOOKUP(N64,$A$61:$I$64,2,FALSE)</f>
        <v>0</v>
      </c>
      <c r="P64" s="12"/>
      <c r="Q64" s="12" t="str">
        <f>IF(O64&lt;=O61,N64,N61)</f>
        <v>Coreia do Sul</v>
      </c>
      <c r="R64" s="12">
        <f>VLOOKUP(Q64,$A$61:$I$64,2,FALSE)</f>
        <v>0</v>
      </c>
      <c r="S64" s="12">
        <f>VLOOKUP(Q64,$A$61:$I$64,9,FALSE)</f>
        <v>0</v>
      </c>
      <c r="T64" s="12"/>
      <c r="U64" s="12" t="str">
        <f>IF(AND(R63=R64,S64&gt;S63),Q63,Q64)</f>
        <v>Coreia do Sul</v>
      </c>
      <c r="V64" s="12">
        <f>VLOOKUP(U64,$A$61:$I$64,2,FALSE)</f>
        <v>0</v>
      </c>
      <c r="W64" s="12">
        <f>VLOOKUP(U64,$A$61:$I$64,9,FALSE)</f>
        <v>0</v>
      </c>
      <c r="X64" s="12" t="str">
        <f>IF(AND(V62=V64,W64&gt;W62),U62,U64)</f>
        <v>Coreia do Sul</v>
      </c>
      <c r="Y64" s="12">
        <f>VLOOKUP(X64,$A$61:$I$64,2,FALSE)</f>
        <v>0</v>
      </c>
      <c r="Z64" s="12">
        <f>VLOOKUP(X64,$A$61:$I$64,9,FALSE)</f>
        <v>0</v>
      </c>
      <c r="AA64" s="12"/>
      <c r="AB64" s="12" t="str">
        <f>IF(AND(Y64=Y61,Z64&gt;Z61),X61,X64)</f>
        <v>Coreia do Sul</v>
      </c>
      <c r="AC64" s="12">
        <f>VLOOKUP(AB64,$A$61:$I$64,2,FALSE)</f>
        <v>0</v>
      </c>
      <c r="AD64" s="12">
        <f>VLOOKUP(AB64,$A$61:$I$64,9,FALSE)</f>
        <v>0</v>
      </c>
      <c r="AE64" s="12">
        <f>VLOOKUP(AB64,$A$61:$I$64,7,FALSE)</f>
        <v>0</v>
      </c>
      <c r="AF64" s="12" t="str">
        <f>IF(AND(AC64=AC63,AD64=AD63,AE64&gt;AE63),X63,X64)</f>
        <v>Coreia do Sul</v>
      </c>
      <c r="AG64" s="12">
        <f>VLOOKUP(AF64,$A$61:$I$64,2,FALSE)</f>
        <v>0</v>
      </c>
      <c r="AH64" s="12">
        <f>VLOOKUP(AF64,$A$61:$I$64,9,FALSE)</f>
        <v>0</v>
      </c>
      <c r="AI64" s="12">
        <f>VLOOKUP(AF64,$A$61:$I$64,7,FALSE)</f>
        <v>0</v>
      </c>
      <c r="AJ64" s="12" t="str">
        <f>IF(AND(AG62=AG64,AH62=AH64,AI64&gt;AI62),AF62,AF64)</f>
        <v>Coreia do Sul</v>
      </c>
      <c r="AK64" s="12">
        <f>VLOOKUP(AJ64,$A$61:$I$64,2,FALSE)</f>
        <v>0</v>
      </c>
      <c r="AL64" s="12">
        <f>VLOOKUP(AJ64,$A$61:$I$64,9,FALSE)</f>
        <v>0</v>
      </c>
      <c r="AM64" s="12">
        <f>VLOOKUP(AJ64,$A$61:$I$64,7,FALSE)</f>
        <v>0</v>
      </c>
      <c r="AN64" s="12" t="str">
        <f>IF(AND(AK64=AK61,AL64=AL61,AM64&gt;AM61),AJ61,AJ64)</f>
        <v>Coreia do Sul</v>
      </c>
      <c r="AO64" s="12">
        <f>VLOOKUP(AN64,$A$61:$I$64,2,FALSE)</f>
        <v>0</v>
      </c>
      <c r="AP64" s="12">
        <f>IF(Tabela!O2="www.guiadecompra.com",VLOOKUP(AN64,$A$61:$I$64,9,FALSE),0)</f>
        <v>0</v>
      </c>
      <c r="AQ64" s="12">
        <f>VLOOKUP(AN64,$A$61:$I$64,7,FALSE)</f>
        <v>0</v>
      </c>
      <c r="AR64" s="13"/>
    </row>
    <row r="65" spans="1:44" x14ac:dyDescent="0.2">
      <c r="A65" s="5"/>
      <c r="B65" s="3"/>
      <c r="C65" s="3"/>
      <c r="D65" s="3"/>
      <c r="E65" s="3"/>
      <c r="F65" s="3"/>
      <c r="G65" s="3"/>
      <c r="H65" s="3"/>
      <c r="I65" s="3"/>
      <c r="J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</row>
  </sheetData>
  <sheetProtection algorithmName="SHA-512" hashValue="LDBbB/cdWvVPvOSTOKNbkAPytrDpa16TqEtM9kgv13bTqa7rayiUILVuaoF375m7m2d0BPGzWWG+NTbOq2sT6w==" saltValue="Pb+upNUhNPFtKY7cYtoO7w==" spinCount="100000" sheet="1" objects="1" scenarios="1" selectLockedCells="1"/>
  <mergeCells count="8">
    <mergeCell ref="B51:I51"/>
    <mergeCell ref="B59:I59"/>
    <mergeCell ref="B3:I3"/>
    <mergeCell ref="B11:I11"/>
    <mergeCell ref="B19:I19"/>
    <mergeCell ref="B27:I27"/>
    <mergeCell ref="B35:I35"/>
    <mergeCell ref="B43:I43"/>
  </mergeCells>
  <hyperlinks>
    <hyperlink ref="A1" r:id="rId1"/>
  </hyperlinks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FFC000"/>
  </sheetPr>
  <dimension ref="B1:L50"/>
  <sheetViews>
    <sheetView showGridLines="0" workbookViewId="0">
      <selection activeCell="N9" sqref="N9"/>
    </sheetView>
  </sheetViews>
  <sheetFormatPr defaultRowHeight="12.75" x14ac:dyDescent="0.2"/>
  <cols>
    <col min="1" max="1" width="6" style="260" customWidth="1"/>
    <col min="2" max="2" width="9.140625" style="260"/>
    <col min="3" max="3" width="23.7109375" style="260" customWidth="1"/>
    <col min="4" max="4" width="4" style="260" customWidth="1"/>
    <col min="5" max="5" width="9.140625" style="260"/>
    <col min="6" max="6" width="21.85546875" style="260" customWidth="1"/>
    <col min="7" max="7" width="4.28515625" style="260" customWidth="1"/>
    <col min="8" max="8" width="9.140625" style="260"/>
    <col min="9" max="9" width="23.85546875" style="260" customWidth="1"/>
    <col min="10" max="10" width="4.28515625" style="260" customWidth="1"/>
    <col min="11" max="11" width="9.140625" style="260"/>
    <col min="12" max="12" width="23.140625" style="260" customWidth="1"/>
    <col min="13" max="16384" width="9.140625" style="260"/>
  </cols>
  <sheetData>
    <row r="1" spans="2:12" ht="20.100000000000001" customHeight="1" x14ac:dyDescent="0.2"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</row>
    <row r="2" spans="2:12" ht="20.100000000000001" customHeight="1" x14ac:dyDescent="0.25">
      <c r="B2" s="368" t="s">
        <v>48</v>
      </c>
      <c r="C2" s="368"/>
      <c r="D2" s="261"/>
      <c r="E2" s="368" t="s">
        <v>54</v>
      </c>
      <c r="F2" s="368"/>
      <c r="H2" s="368" t="s">
        <v>55</v>
      </c>
      <c r="I2" s="368"/>
      <c r="K2" s="368" t="s">
        <v>56</v>
      </c>
      <c r="L2" s="368"/>
    </row>
    <row r="3" spans="2:12" x14ac:dyDescent="0.2">
      <c r="B3" s="262" t="s">
        <v>131</v>
      </c>
      <c r="C3" s="259" t="s">
        <v>141</v>
      </c>
      <c r="E3" s="262" t="s">
        <v>65</v>
      </c>
      <c r="F3" s="259" t="s">
        <v>143</v>
      </c>
      <c r="H3" s="262" t="s">
        <v>69</v>
      </c>
      <c r="I3" s="259" t="s">
        <v>144</v>
      </c>
      <c r="K3" s="262" t="s">
        <v>73</v>
      </c>
      <c r="L3" s="259" t="s">
        <v>145</v>
      </c>
    </row>
    <row r="4" spans="2:12" x14ac:dyDescent="0.2">
      <c r="B4" s="262" t="s">
        <v>62</v>
      </c>
      <c r="C4" s="259" t="s">
        <v>166</v>
      </c>
      <c r="E4" s="262" t="s">
        <v>67</v>
      </c>
      <c r="F4" s="259" t="s">
        <v>167</v>
      </c>
      <c r="H4" s="262" t="s">
        <v>71</v>
      </c>
      <c r="I4" s="259" t="s">
        <v>168</v>
      </c>
      <c r="K4" s="262" t="s">
        <v>75</v>
      </c>
      <c r="L4" s="259" t="s">
        <v>161</v>
      </c>
    </row>
    <row r="5" spans="2:12" x14ac:dyDescent="0.2">
      <c r="B5" s="262" t="s">
        <v>63</v>
      </c>
      <c r="C5" s="259" t="s">
        <v>158</v>
      </c>
      <c r="E5" s="262" t="s">
        <v>66</v>
      </c>
      <c r="F5" s="259" t="s">
        <v>151</v>
      </c>
      <c r="H5" s="262" t="s">
        <v>70</v>
      </c>
      <c r="I5" s="259" t="s">
        <v>154</v>
      </c>
      <c r="K5" s="262" t="s">
        <v>74</v>
      </c>
      <c r="L5" s="259" t="s">
        <v>169</v>
      </c>
    </row>
    <row r="6" spans="2:12" x14ac:dyDescent="0.2">
      <c r="B6" s="262" t="s">
        <v>64</v>
      </c>
      <c r="C6" s="259" t="s">
        <v>152</v>
      </c>
      <c r="E6" s="262" t="s">
        <v>68</v>
      </c>
      <c r="F6" s="259" t="s">
        <v>159</v>
      </c>
      <c r="H6" s="262" t="s">
        <v>72</v>
      </c>
      <c r="I6" s="259" t="s">
        <v>160</v>
      </c>
      <c r="K6" s="262" t="s">
        <v>76</v>
      </c>
      <c r="L6" s="259" t="s">
        <v>150</v>
      </c>
    </row>
    <row r="7" spans="2:12" ht="20.100000000000001" customHeight="1" x14ac:dyDescent="0.2"/>
    <row r="8" spans="2:12" ht="20.100000000000001" customHeight="1" x14ac:dyDescent="0.2"/>
    <row r="9" spans="2:12" ht="20.100000000000001" customHeight="1" x14ac:dyDescent="0.25">
      <c r="B9" s="368" t="s">
        <v>57</v>
      </c>
      <c r="C9" s="368"/>
      <c r="D9" s="261"/>
      <c r="E9" s="368" t="s">
        <v>58</v>
      </c>
      <c r="F9" s="368"/>
      <c r="H9" s="368" t="s">
        <v>59</v>
      </c>
      <c r="I9" s="368"/>
      <c r="K9" s="368" t="s">
        <v>60</v>
      </c>
      <c r="L9" s="368"/>
    </row>
    <row r="10" spans="2:12" x14ac:dyDescent="0.2">
      <c r="B10" s="262" t="s">
        <v>77</v>
      </c>
      <c r="C10" s="259" t="s">
        <v>146</v>
      </c>
      <c r="E10" s="262" t="s">
        <v>81</v>
      </c>
      <c r="F10" s="259" t="s">
        <v>147</v>
      </c>
      <c r="H10" s="262" t="s">
        <v>85</v>
      </c>
      <c r="I10" s="259" t="s">
        <v>148</v>
      </c>
      <c r="K10" s="262" t="s">
        <v>89</v>
      </c>
      <c r="L10" s="259" t="s">
        <v>149</v>
      </c>
    </row>
    <row r="11" spans="2:12" x14ac:dyDescent="0.2">
      <c r="B11" s="262" t="s">
        <v>79</v>
      </c>
      <c r="C11" s="259" t="s">
        <v>153</v>
      </c>
      <c r="E11" s="262" t="s">
        <v>83</v>
      </c>
      <c r="F11" s="259" t="s">
        <v>171</v>
      </c>
      <c r="H11" s="262" t="s">
        <v>87</v>
      </c>
      <c r="I11" s="259" t="s">
        <v>172</v>
      </c>
      <c r="K11" s="262" t="s">
        <v>91</v>
      </c>
      <c r="L11" s="259" t="s">
        <v>157</v>
      </c>
    </row>
    <row r="12" spans="2:12" x14ac:dyDescent="0.2">
      <c r="B12" s="262" t="s">
        <v>78</v>
      </c>
      <c r="C12" s="259" t="s">
        <v>170</v>
      </c>
      <c r="E12" s="262" t="s">
        <v>82</v>
      </c>
      <c r="F12" s="259" t="s">
        <v>163</v>
      </c>
      <c r="H12" s="262" t="s">
        <v>86</v>
      </c>
      <c r="I12" s="259" t="s">
        <v>156</v>
      </c>
      <c r="K12" s="262" t="s">
        <v>90</v>
      </c>
      <c r="L12" s="259" t="s">
        <v>173</v>
      </c>
    </row>
    <row r="13" spans="2:12" x14ac:dyDescent="0.2">
      <c r="B13" s="262" t="s">
        <v>80</v>
      </c>
      <c r="C13" s="259" t="s">
        <v>162</v>
      </c>
      <c r="E13" s="262" t="s">
        <v>84</v>
      </c>
      <c r="F13" s="259" t="s">
        <v>155</v>
      </c>
      <c r="H13" s="262" t="s">
        <v>88</v>
      </c>
      <c r="I13" s="259" t="s">
        <v>164</v>
      </c>
      <c r="K13" s="262" t="s">
        <v>92</v>
      </c>
      <c r="L13" s="259" t="s">
        <v>165</v>
      </c>
    </row>
    <row r="14" spans="2:12" ht="20.100000000000001" customHeight="1" x14ac:dyDescent="0.2"/>
    <row r="15" spans="2:12" ht="20.100000000000001" customHeight="1" x14ac:dyDescent="0.2"/>
    <row r="16" spans="2:12" ht="20.100000000000001" customHeight="1" x14ac:dyDescent="0.25">
      <c r="B16" s="354" t="s">
        <v>119</v>
      </c>
      <c r="C16" s="355"/>
      <c r="D16" s="356" t="str">
        <f>Tabela!L99</f>
        <v>www.guiadecompra.com</v>
      </c>
      <c r="E16" s="356"/>
      <c r="F16" s="357"/>
      <c r="G16" s="266"/>
      <c r="H16" s="367" t="s">
        <v>174</v>
      </c>
      <c r="I16" s="367"/>
      <c r="K16" s="348" t="s">
        <v>132</v>
      </c>
      <c r="L16" s="349"/>
    </row>
    <row r="17" spans="2:12" x14ac:dyDescent="0.2">
      <c r="B17" s="364"/>
      <c r="C17" s="365"/>
      <c r="D17" s="365"/>
      <c r="E17" s="365"/>
      <c r="F17" s="366"/>
      <c r="G17" s="267"/>
      <c r="H17" s="268"/>
      <c r="I17" s="269"/>
      <c r="K17" s="350"/>
      <c r="L17" s="351"/>
    </row>
    <row r="18" spans="2:12" x14ac:dyDescent="0.2">
      <c r="B18" s="361" t="s">
        <v>177</v>
      </c>
      <c r="C18" s="362"/>
      <c r="D18" s="362"/>
      <c r="E18" s="362"/>
      <c r="F18" s="363"/>
      <c r="G18" s="267"/>
      <c r="H18" s="268"/>
      <c r="I18" s="269"/>
      <c r="K18" s="350"/>
      <c r="L18" s="351"/>
    </row>
    <row r="19" spans="2:12" x14ac:dyDescent="0.2">
      <c r="B19" s="358"/>
      <c r="C19" s="359"/>
      <c r="D19" s="359"/>
      <c r="E19" s="359"/>
      <c r="F19" s="360"/>
      <c r="G19" s="266"/>
      <c r="H19" s="195"/>
      <c r="I19" s="269"/>
      <c r="K19" s="352"/>
      <c r="L19" s="353"/>
    </row>
    <row r="20" spans="2:12" ht="20.100000000000001" customHeight="1" x14ac:dyDescent="0.2">
      <c r="B20" s="263"/>
    </row>
    <row r="21" spans="2:12" ht="20.100000000000001" customHeight="1" thickBot="1" x14ac:dyDescent="0.25">
      <c r="B21" s="347" t="s">
        <v>135</v>
      </c>
      <c r="C21" s="347"/>
      <c r="D21" s="347"/>
      <c r="E21" s="347"/>
      <c r="F21" s="347"/>
    </row>
    <row r="22" spans="2:12" ht="20.100000000000001" customHeight="1" thickBot="1" x14ac:dyDescent="0.25">
      <c r="B22" s="344" t="s">
        <v>136</v>
      </c>
      <c r="C22" s="345"/>
      <c r="D22" s="345"/>
      <c r="E22" s="345"/>
      <c r="F22" s="346"/>
      <c r="H22" s="300"/>
      <c r="I22" s="301"/>
      <c r="J22" s="302"/>
      <c r="K22" s="302"/>
      <c r="L22" s="303"/>
    </row>
    <row r="23" spans="2:12" ht="20.100000000000001" customHeight="1" x14ac:dyDescent="0.2"/>
    <row r="24" spans="2:12" ht="20.100000000000001" customHeight="1" x14ac:dyDescent="0.2"/>
    <row r="25" spans="2:12" ht="20.100000000000001" customHeight="1" x14ac:dyDescent="0.2"/>
    <row r="26" spans="2:12" ht="20.100000000000001" customHeight="1" x14ac:dyDescent="0.2"/>
    <row r="27" spans="2:12" ht="20.100000000000001" customHeight="1" x14ac:dyDescent="0.2"/>
    <row r="28" spans="2:12" ht="20.100000000000001" customHeight="1" x14ac:dyDescent="0.2"/>
    <row r="29" spans="2:12" ht="20.100000000000001" customHeight="1" x14ac:dyDescent="0.2"/>
    <row r="30" spans="2:12" ht="20.100000000000001" customHeight="1" x14ac:dyDescent="0.2"/>
    <row r="31" spans="2:12" ht="20.100000000000001" customHeight="1" x14ac:dyDescent="0.2"/>
    <row r="32" spans="2:12" ht="20.100000000000001" customHeight="1" x14ac:dyDescent="0.2"/>
    <row r="33" ht="20.100000000000001" customHeight="1" x14ac:dyDescent="0.2"/>
    <row r="34" ht="20.100000000000001" customHeight="1" x14ac:dyDescent="0.2"/>
    <row r="35" ht="20.100000000000001" customHeight="1" x14ac:dyDescent="0.2"/>
    <row r="36" ht="20.100000000000001" customHeight="1" x14ac:dyDescent="0.2"/>
    <row r="37" ht="20.100000000000001" customHeight="1" x14ac:dyDescent="0.2"/>
    <row r="38" ht="20.100000000000001" customHeight="1" x14ac:dyDescent="0.2"/>
    <row r="39" ht="20.100000000000001" customHeight="1" x14ac:dyDescent="0.2"/>
    <row r="40" ht="20.100000000000001" customHeight="1" x14ac:dyDescent="0.2"/>
    <row r="41" ht="20.100000000000001" customHeight="1" x14ac:dyDescent="0.2"/>
    <row r="42" ht="20.100000000000001" customHeight="1" x14ac:dyDescent="0.2"/>
    <row r="43" ht="20.100000000000001" customHeight="1" x14ac:dyDescent="0.2"/>
    <row r="44" ht="20.100000000000001" customHeight="1" x14ac:dyDescent="0.2"/>
    <row r="45" ht="20.100000000000001" customHeight="1" x14ac:dyDescent="0.2"/>
    <row r="46" ht="20.100000000000001" customHeight="1" x14ac:dyDescent="0.2"/>
    <row r="47" ht="20.100000000000001" customHeight="1" x14ac:dyDescent="0.2"/>
    <row r="48" ht="20.100000000000001" customHeight="1" x14ac:dyDescent="0.2"/>
    <row r="49" ht="20.100000000000001" customHeight="1" x14ac:dyDescent="0.2"/>
    <row r="50" ht="20.100000000000001" customHeight="1" x14ac:dyDescent="0.2"/>
  </sheetData>
  <sheetProtection selectLockedCells="1"/>
  <mergeCells count="17">
    <mergeCell ref="B2:C2"/>
    <mergeCell ref="E2:F2"/>
    <mergeCell ref="H2:I2"/>
    <mergeCell ref="K2:L2"/>
    <mergeCell ref="B9:C9"/>
    <mergeCell ref="E9:F9"/>
    <mergeCell ref="H9:I9"/>
    <mergeCell ref="K9:L9"/>
    <mergeCell ref="B22:F22"/>
    <mergeCell ref="B21:F21"/>
    <mergeCell ref="K16:L19"/>
    <mergeCell ref="B16:C16"/>
    <mergeCell ref="D16:F16"/>
    <mergeCell ref="B19:F19"/>
    <mergeCell ref="B18:F18"/>
    <mergeCell ref="B17:F17"/>
    <mergeCell ref="H16:I16"/>
  </mergeCells>
  <hyperlinks>
    <hyperlink ref="D16" r:id="rId1" display="www.guiadcompra.com"/>
    <hyperlink ref="H16:I16" location="Tabela!B1" display="Ir Para a Tabela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/>
  <dimension ref="B2:B6"/>
  <sheetViews>
    <sheetView workbookViewId="0">
      <selection activeCell="B26" sqref="B26"/>
    </sheetView>
  </sheetViews>
  <sheetFormatPr defaultRowHeight="12.75" x14ac:dyDescent="0.2"/>
  <cols>
    <col min="2" max="2" width="54" customWidth="1"/>
  </cols>
  <sheetData>
    <row r="2" spans="2:2" ht="20.25" x14ac:dyDescent="0.2">
      <c r="B2" s="50" t="s">
        <v>110</v>
      </c>
    </row>
    <row r="3" spans="2:2" ht="20.25" x14ac:dyDescent="0.2">
      <c r="B3" s="51" t="s">
        <v>111</v>
      </c>
    </row>
    <row r="4" spans="2:2" x14ac:dyDescent="0.2">
      <c r="B4" s="52" t="s">
        <v>112</v>
      </c>
    </row>
    <row r="5" spans="2:2" ht="25.5" x14ac:dyDescent="0.2">
      <c r="B5" s="49" t="s">
        <v>114</v>
      </c>
    </row>
    <row r="6" spans="2:2" ht="15.75" x14ac:dyDescent="0.2">
      <c r="B6" s="53" t="s">
        <v>113</v>
      </c>
    </row>
  </sheetData>
  <hyperlinks>
    <hyperlink ref="B3" r:id="rId1"/>
    <hyperlink ref="B6" r:id="rId2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FFFF00"/>
  </sheetPr>
  <dimension ref="B2:D27"/>
  <sheetViews>
    <sheetView showGridLines="0" workbookViewId="0"/>
  </sheetViews>
  <sheetFormatPr defaultRowHeight="12.75" x14ac:dyDescent="0.2"/>
  <cols>
    <col min="2" max="2" width="48" bestFit="1" customWidth="1"/>
    <col min="4" max="4" width="45.42578125" customWidth="1"/>
  </cols>
  <sheetData>
    <row r="2" spans="2:4" x14ac:dyDescent="0.2">
      <c r="B2" s="372" t="s">
        <v>122</v>
      </c>
      <c r="C2" s="373"/>
      <c r="D2" s="374" t="str">
        <f>Tabela!O2</f>
        <v>www.guiadecompra.com</v>
      </c>
    </row>
    <row r="3" spans="2:4" x14ac:dyDescent="0.2">
      <c r="B3" s="372"/>
      <c r="C3" s="373"/>
      <c r="D3" s="375"/>
    </row>
    <row r="4" spans="2:4" x14ac:dyDescent="0.2">
      <c r="B4" s="370" t="s">
        <v>138</v>
      </c>
      <c r="C4" s="202"/>
      <c r="D4" s="370" t="s">
        <v>123</v>
      </c>
    </row>
    <row r="5" spans="2:4" x14ac:dyDescent="0.2">
      <c r="B5" s="370"/>
      <c r="C5" s="202"/>
      <c r="D5" s="370"/>
    </row>
    <row r="6" spans="2:4" x14ac:dyDescent="0.2">
      <c r="B6" s="370"/>
      <c r="C6" s="202"/>
      <c r="D6" s="370"/>
    </row>
    <row r="7" spans="2:4" ht="15.75" x14ac:dyDescent="0.25">
      <c r="B7" s="203"/>
      <c r="C7" s="202"/>
      <c r="D7" s="204"/>
    </row>
    <row r="8" spans="2:4" x14ac:dyDescent="0.2">
      <c r="B8" s="370" t="s">
        <v>124</v>
      </c>
      <c r="C8" s="202"/>
      <c r="D8" s="371" t="s">
        <v>125</v>
      </c>
    </row>
    <row r="9" spans="2:4" x14ac:dyDescent="0.2">
      <c r="B9" s="370"/>
      <c r="C9" s="202"/>
      <c r="D9" s="371"/>
    </row>
    <row r="10" spans="2:4" x14ac:dyDescent="0.2">
      <c r="B10" s="370"/>
      <c r="C10" s="202"/>
      <c r="D10" s="371"/>
    </row>
    <row r="11" spans="2:4" ht="15" x14ac:dyDescent="0.2">
      <c r="B11" s="203"/>
      <c r="C11" s="202"/>
      <c r="D11" s="205"/>
    </row>
    <row r="12" spans="2:4" x14ac:dyDescent="0.2">
      <c r="B12" s="370" t="s">
        <v>126</v>
      </c>
      <c r="C12" s="202"/>
      <c r="D12" s="370" t="s">
        <v>139</v>
      </c>
    </row>
    <row r="13" spans="2:4" ht="12.75" customHeight="1" x14ac:dyDescent="0.2">
      <c r="B13" s="370"/>
      <c r="C13" s="202"/>
      <c r="D13" s="370" t="s">
        <v>127</v>
      </c>
    </row>
    <row r="14" spans="2:4" ht="12.75" customHeight="1" x14ac:dyDescent="0.2">
      <c r="B14" s="370"/>
      <c r="C14" s="202"/>
      <c r="D14" s="370"/>
    </row>
    <row r="15" spans="2:4" ht="15" x14ac:dyDescent="0.2">
      <c r="B15" s="203"/>
      <c r="C15" s="202"/>
      <c r="D15" s="203"/>
    </row>
    <row r="16" spans="2:4" x14ac:dyDescent="0.2">
      <c r="B16" s="370" t="s">
        <v>128</v>
      </c>
      <c r="C16" s="202"/>
      <c r="D16" s="370" t="s">
        <v>140</v>
      </c>
    </row>
    <row r="17" spans="2:4" x14ac:dyDescent="0.2">
      <c r="B17" s="370"/>
      <c r="C17" s="202"/>
      <c r="D17" s="370"/>
    </row>
    <row r="18" spans="2:4" x14ac:dyDescent="0.2">
      <c r="B18" s="370"/>
      <c r="C18" s="202"/>
      <c r="D18" s="370"/>
    </row>
    <row r="19" spans="2:4" ht="15" x14ac:dyDescent="0.2">
      <c r="B19" s="206"/>
      <c r="C19" s="202"/>
      <c r="D19" s="203"/>
    </row>
    <row r="20" spans="2:4" x14ac:dyDescent="0.2">
      <c r="B20" s="371" t="s">
        <v>129</v>
      </c>
      <c r="C20" s="202"/>
      <c r="D20" s="370" t="s">
        <v>130</v>
      </c>
    </row>
    <row r="21" spans="2:4" x14ac:dyDescent="0.2">
      <c r="B21" s="371"/>
      <c r="C21" s="202"/>
      <c r="D21" s="370"/>
    </row>
    <row r="22" spans="2:4" x14ac:dyDescent="0.2">
      <c r="B22" s="371"/>
      <c r="C22" s="202"/>
      <c r="D22" s="370"/>
    </row>
    <row r="23" spans="2:4" x14ac:dyDescent="0.2">
      <c r="B23" s="207"/>
      <c r="C23" s="202"/>
      <c r="D23" s="208"/>
    </row>
    <row r="24" spans="2:4" ht="15" x14ac:dyDescent="0.25">
      <c r="B24" s="369" t="s">
        <v>142</v>
      </c>
      <c r="C24" s="369"/>
      <c r="D24" s="369"/>
    </row>
    <row r="25" spans="2:4" ht="15" x14ac:dyDescent="0.25">
      <c r="B25" s="209"/>
      <c r="C25" s="210"/>
      <c r="D25" s="202"/>
    </row>
    <row r="27" spans="2:4" ht="15.75" x14ac:dyDescent="0.25">
      <c r="B27" s="264"/>
    </row>
  </sheetData>
  <mergeCells count="14">
    <mergeCell ref="B8:B10"/>
    <mergeCell ref="D8:D10"/>
    <mergeCell ref="B2:B3"/>
    <mergeCell ref="C2:C3"/>
    <mergeCell ref="D2:D3"/>
    <mergeCell ref="B4:B6"/>
    <mergeCell ref="D4:D6"/>
    <mergeCell ref="B24:D24"/>
    <mergeCell ref="B12:B14"/>
    <mergeCell ref="B16:B18"/>
    <mergeCell ref="D16:D18"/>
    <mergeCell ref="B20:B22"/>
    <mergeCell ref="D20:D22"/>
    <mergeCell ref="D12:D14"/>
  </mergeCells>
  <hyperlinks>
    <hyperlink ref="D13:D14" r:id="rId1" display="Apostila Excel"/>
    <hyperlink ref="D4:D6" r:id="rId2" display="Ver Mais Planilha de Excel"/>
    <hyperlink ref="B20:B22" r:id="rId3" display="Compartilhe no Facebook"/>
    <hyperlink ref="B12:B14" r:id="rId4" display="Planilha de Controle de Estoque"/>
    <hyperlink ref="B16:B18" r:id="rId5" display="Planilha de Cotação de Preços"/>
    <hyperlink ref="B8:B10" r:id="rId6" display="Planilha de Fluxo de Caixa"/>
    <hyperlink ref="D8:D10" r:id="rId7" display="Planilha de Controle de Produtos"/>
    <hyperlink ref="D2" r:id="rId8" display="www.guiadecompra.com"/>
    <hyperlink ref="D16:D18" r:id="rId9" display="Planilha Cadastro de Clientes"/>
    <hyperlink ref="D20:D22" r:id="rId10" display="Tabela da Copa do Mundo"/>
    <hyperlink ref="B4:B6" r:id="rId11" display="Planilha de Orçamento Familiar"/>
    <hyperlink ref="D12:D14" r:id="rId12" display="Pacote com 25 Planilhas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6</vt:i4>
      </vt:variant>
    </vt:vector>
  </HeadingPairs>
  <TitlesOfParts>
    <vt:vector size="11" baseType="lpstr">
      <vt:lpstr>Tabela</vt:lpstr>
      <vt:lpstr>Jogo</vt:lpstr>
      <vt:lpstr>info</vt:lpstr>
      <vt:lpstr>   </vt:lpstr>
      <vt:lpstr>Mais Tabelas</vt:lpstr>
      <vt:lpstr>B5I</vt:lpstr>
      <vt:lpstr>BR20I4</vt:lpstr>
      <vt:lpstr>Brasil</vt:lpstr>
      <vt:lpstr>Jogo!Copa</vt:lpstr>
      <vt:lpstr>D5I</vt:lpstr>
      <vt:lpstr>FIFA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edivaldo</dc:creator>
  <cp:lastModifiedBy>Edivaldo</cp:lastModifiedBy>
  <dcterms:created xsi:type="dcterms:W3CDTF">2010-06-12T16:58:33Z</dcterms:created>
  <dcterms:modified xsi:type="dcterms:W3CDTF">2014-03-31T11:48:45Z</dcterms:modified>
</cp:coreProperties>
</file>